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20" tabRatio="715" activeTab="0"/>
  </bookViews>
  <sheets>
    <sheet name="3-2稻谷检验数据表" sheetId="1" r:id="rId1"/>
    <sheet name="3-5油菜籽检验数据表" sheetId="2" r:id="rId2"/>
    <sheet name="3-9稻谷结果分析表" sheetId="3" r:id="rId3"/>
    <sheet name="3-12油菜籽结果分析表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<sst xmlns="http://schemas.openxmlformats.org/spreadsheetml/2006/main" count="1961" uniqueCount="610">
  <si>
    <t>附表3-2</t>
  </si>
  <si>
    <t>稻谷质量调查检验数据表</t>
  </si>
  <si>
    <t>序号</t>
  </si>
  <si>
    <t>编号</t>
  </si>
  <si>
    <t>扦样单原样品编号</t>
  </si>
  <si>
    <t>所属
省份</t>
  </si>
  <si>
    <t>所属
地市</t>
  </si>
  <si>
    <t>采集地点（县、乡、村）</t>
  </si>
  <si>
    <t>6位行政区划代码</t>
  </si>
  <si>
    <t>土壤类型地理环境</t>
  </si>
  <si>
    <t>品种</t>
  </si>
  <si>
    <t>千粒重
（g）</t>
  </si>
  <si>
    <t>出糙率    （%）</t>
  </si>
  <si>
    <t>不完善粒（%）</t>
  </si>
  <si>
    <t>整精米率（%）</t>
  </si>
  <si>
    <t>水分   （%）</t>
  </si>
  <si>
    <t>色泽气味</t>
  </si>
  <si>
    <t>黄粒米
（%）</t>
  </si>
  <si>
    <t>谷外糙米
（%）</t>
  </si>
  <si>
    <t>总量</t>
  </si>
  <si>
    <t>未熟粒</t>
  </si>
  <si>
    <t>虫蚀粒</t>
  </si>
  <si>
    <t>病斑粒</t>
  </si>
  <si>
    <t>生芽粒</t>
  </si>
  <si>
    <t>生霉粒</t>
  </si>
  <si>
    <t>CDZXD01</t>
  </si>
  <si>
    <t>SH2023223</t>
  </si>
  <si>
    <t>湖南省</t>
  </si>
  <si>
    <t>常德市</t>
  </si>
  <si>
    <t>津市市药山镇药山村</t>
  </si>
  <si>
    <t>壤土</t>
  </si>
  <si>
    <t>浙福7号</t>
  </si>
  <si>
    <t>正常</t>
  </si>
  <si>
    <t>CDZXD02</t>
  </si>
  <si>
    <t>SH2023224</t>
  </si>
  <si>
    <t>津市市药山镇棠华社区</t>
  </si>
  <si>
    <t>中组18号</t>
  </si>
  <si>
    <t>CDZXD03</t>
  </si>
  <si>
    <t>SH2023225</t>
  </si>
  <si>
    <t>临澧县望城街道楚城社区</t>
  </si>
  <si>
    <t>湘早籼32号</t>
  </si>
  <si>
    <t>CDZXD04</t>
  </si>
  <si>
    <t>SH2023226</t>
  </si>
  <si>
    <t>临澧县烽火乡观音庵社区</t>
  </si>
  <si>
    <t>CDZXD05</t>
  </si>
  <si>
    <t>SH2023227</t>
  </si>
  <si>
    <t>临澧县四新岗镇双龙村</t>
  </si>
  <si>
    <t>CDZXD06</t>
  </si>
  <si>
    <t>SH2023228</t>
  </si>
  <si>
    <t>临澧县烽火乡六方洲村</t>
  </si>
  <si>
    <t>CDZXD07</t>
  </si>
  <si>
    <t>SH2023229</t>
  </si>
  <si>
    <t>澧县城头山镇翊武村</t>
  </si>
  <si>
    <t>粒粒早</t>
  </si>
  <si>
    <t>CDZXD08</t>
  </si>
  <si>
    <t>SH2023230</t>
  </si>
  <si>
    <t>澧县城头山镇大兴村</t>
  </si>
  <si>
    <t>浙福802</t>
  </si>
  <si>
    <t>CDZXD09</t>
  </si>
  <si>
    <t>SH2023231</t>
  </si>
  <si>
    <t>澧县涔南乡鸡叫城村</t>
  </si>
  <si>
    <t>CDZXD10</t>
  </si>
  <si>
    <t>SH2023232</t>
  </si>
  <si>
    <t>安乡县黄山头镇虎山村</t>
  </si>
  <si>
    <t>87早</t>
  </si>
  <si>
    <t>CDZXD11</t>
  </si>
  <si>
    <t>SH2023233</t>
  </si>
  <si>
    <t>安乡县安全乡沙滩口村</t>
  </si>
  <si>
    <t>CDZXD12</t>
  </si>
  <si>
    <t>SH2023234</t>
  </si>
  <si>
    <t>安乡县安康乡新沙村</t>
  </si>
  <si>
    <t>CDZXD13</t>
  </si>
  <si>
    <t>SH2023235</t>
  </si>
  <si>
    <t>安乡县安康乡杜家村</t>
  </si>
  <si>
    <t>CDZXD14</t>
  </si>
  <si>
    <t>SH2023236</t>
  </si>
  <si>
    <t>安乡县安障乡岩剅口村</t>
  </si>
  <si>
    <t>湘早籼6</t>
  </si>
  <si>
    <t>CDZXD15</t>
  </si>
  <si>
    <t>SH2023237</t>
  </si>
  <si>
    <t>安乡县安康乡仙桃村</t>
  </si>
  <si>
    <t>CDZXD16</t>
  </si>
  <si>
    <t>SH2023238</t>
  </si>
  <si>
    <t>安乡县下渔口镇竹惠村</t>
  </si>
  <si>
    <t>CDZXD17</t>
  </si>
  <si>
    <t>SH2023239</t>
  </si>
  <si>
    <t>安乡县安康乡向阳村</t>
  </si>
  <si>
    <t>CDZXD18</t>
  </si>
  <si>
    <t>SH2023240</t>
  </si>
  <si>
    <t>安乡县深柳镇芝子湖村</t>
  </si>
  <si>
    <t>CDZXD19</t>
  </si>
  <si>
    <t>SH2023241</t>
  </si>
  <si>
    <t>安乡县黄山头镇沙堤村</t>
  </si>
  <si>
    <t>CDZXD20</t>
  </si>
  <si>
    <t>SH2023242</t>
  </si>
  <si>
    <t>早杂</t>
  </si>
  <si>
    <t>CDZXD21</t>
  </si>
  <si>
    <t>SH2023243</t>
  </si>
  <si>
    <t>安乡县安全乡董家村</t>
  </si>
  <si>
    <t>CDZXD22</t>
  </si>
  <si>
    <t>SH2023244</t>
  </si>
  <si>
    <t>桃源县陬市镇长乐村</t>
  </si>
  <si>
    <t>陵两优21</t>
  </si>
  <si>
    <t>CDZXD23</t>
  </si>
  <si>
    <t>SH2023245</t>
  </si>
  <si>
    <t>桃源县郑家驿镇麦家河村</t>
  </si>
  <si>
    <t>中早35</t>
  </si>
  <si>
    <t>CDZXD24</t>
  </si>
  <si>
    <t>SH2023246</t>
  </si>
  <si>
    <t>桃源县陬市镇酒铺岗村</t>
  </si>
  <si>
    <t>CDZXD25</t>
  </si>
  <si>
    <t>SH2023247</t>
  </si>
  <si>
    <t>桃源县郑家驿镇澄溪桥村</t>
  </si>
  <si>
    <t>CDZXD26</t>
  </si>
  <si>
    <t>SH2023248</t>
  </si>
  <si>
    <t>桃源县郑家驿镇铁山溪村</t>
  </si>
  <si>
    <t>CDZXD27</t>
  </si>
  <si>
    <t>SH2023249</t>
  </si>
  <si>
    <t>桃源县马鬃岭镇木槎桥村</t>
  </si>
  <si>
    <t>中早39</t>
  </si>
  <si>
    <t>CDZXD28</t>
  </si>
  <si>
    <t>SH2023250</t>
  </si>
  <si>
    <t>桃源县马鬃岭镇马鬃岭居委会</t>
  </si>
  <si>
    <t>浙谷7号</t>
  </si>
  <si>
    <t>CDZXD29</t>
  </si>
  <si>
    <t>SH2023251</t>
  </si>
  <si>
    <t>鼎城区草坪镇先锋村</t>
  </si>
  <si>
    <t>砂质土</t>
  </si>
  <si>
    <t>87早（一点红）</t>
  </si>
  <si>
    <t>CDZXD30</t>
  </si>
  <si>
    <t>SH2023252</t>
  </si>
  <si>
    <t>鼎城区草坪镇枫林口村</t>
  </si>
  <si>
    <t>CDZXD31</t>
  </si>
  <si>
    <t>SH2023253</t>
  </si>
  <si>
    <t>鼎城区黄土店镇官仓村</t>
  </si>
  <si>
    <t>隆香优华占</t>
  </si>
  <si>
    <t>CDZXD32</t>
  </si>
  <si>
    <t>SH2023254</t>
  </si>
  <si>
    <t>鼎城区黄土店镇红岩嘴村</t>
  </si>
  <si>
    <t>CDZXD33</t>
  </si>
  <si>
    <t>SH2023255</t>
  </si>
  <si>
    <t>鼎城区黄土店镇湖堤村</t>
  </si>
  <si>
    <t>CDZXD34</t>
  </si>
  <si>
    <t>SH2023256</t>
  </si>
  <si>
    <t>鼎城区谢家铺镇鹿角坪村</t>
  </si>
  <si>
    <t>湘早籼15</t>
  </si>
  <si>
    <t>CDZXD35</t>
  </si>
  <si>
    <t>SH2023257</t>
  </si>
  <si>
    <t>鼎城区谢家铺镇丁家桥村</t>
  </si>
  <si>
    <t>CDZXD36</t>
  </si>
  <si>
    <t>SH2023258</t>
  </si>
  <si>
    <t>鼎城区谢家铺镇官桥坪村</t>
  </si>
  <si>
    <t>CDZXD37</t>
  </si>
  <si>
    <t>SH2023260</t>
  </si>
  <si>
    <t>汉寿县沧浪街道老鹳树社区</t>
  </si>
  <si>
    <t>CDZXD38</t>
  </si>
  <si>
    <t>SH2023261</t>
  </si>
  <si>
    <t>汉寿县毛家滩乡油铺村</t>
  </si>
  <si>
    <t>CDZXD39</t>
  </si>
  <si>
    <t>SH2023263</t>
  </si>
  <si>
    <t>汉寿县朱家铺镇三河村</t>
  </si>
  <si>
    <t>CDZXD40</t>
  </si>
  <si>
    <t>SH2023264</t>
  </si>
  <si>
    <t>汉寿县株木山街道清水湖村</t>
  </si>
  <si>
    <t>CDZXD41</t>
  </si>
  <si>
    <t>SH2023265</t>
  </si>
  <si>
    <t>汉寿县株木山街道施家巷村</t>
  </si>
  <si>
    <t>中早32</t>
  </si>
  <si>
    <t>CDZXD42</t>
  </si>
  <si>
    <t>SH2023266</t>
  </si>
  <si>
    <t>汉寿县沧港镇军刘村</t>
  </si>
  <si>
    <t>CDZXD43</t>
  </si>
  <si>
    <t>SH2023267</t>
  </si>
  <si>
    <t>汉寿县毛家滩乡牛路村</t>
  </si>
  <si>
    <t>湘早籼24号</t>
  </si>
  <si>
    <t>CDZXD44</t>
  </si>
  <si>
    <t>SH2023268</t>
  </si>
  <si>
    <t>汉寿县毛家滩乡耀言湾村</t>
  </si>
  <si>
    <t>CDZXD45</t>
  </si>
  <si>
    <t>SH2023269</t>
  </si>
  <si>
    <t>汉寿县朱家铺镇富强村</t>
  </si>
  <si>
    <t>CDZXD46</t>
  </si>
  <si>
    <t>SH2023270</t>
  </si>
  <si>
    <t>汉寿县太子庙镇马嘶桥村</t>
  </si>
  <si>
    <t>CDZXD47</t>
  </si>
  <si>
    <t>SH2023271</t>
  </si>
  <si>
    <t>汉寿县太子庙镇黄岭岗村</t>
  </si>
  <si>
    <t>CDZXD48</t>
  </si>
  <si>
    <t>SH2023272</t>
  </si>
  <si>
    <t>武陵区芦荻山乡张家堰村</t>
  </si>
  <si>
    <t>CDZXD49</t>
  </si>
  <si>
    <t>SH2023273</t>
  </si>
  <si>
    <t>武陵区芦荻山乡李白溪村</t>
  </si>
  <si>
    <t>CDZXD50</t>
  </si>
  <si>
    <t>SH2023274</t>
  </si>
  <si>
    <t>常德经开区石门桥镇何家堤村</t>
  </si>
  <si>
    <t>CDZXD51</t>
  </si>
  <si>
    <t>SH2023275</t>
  </si>
  <si>
    <t>石门县易家渡镇军档桥村8组</t>
  </si>
  <si>
    <t>陵两优17</t>
  </si>
  <si>
    <t>CDZXD52</t>
  </si>
  <si>
    <t>SH2023276</t>
  </si>
  <si>
    <t>石门县易家渡镇军档桥村9组</t>
  </si>
  <si>
    <t>CDZXD53</t>
  </si>
  <si>
    <t>SH2023277</t>
  </si>
  <si>
    <t>津市市药山镇天鹅村</t>
  </si>
  <si>
    <t>CDZXD54</t>
  </si>
  <si>
    <t>SH2023278</t>
  </si>
  <si>
    <t>津市市新州镇毛家岗村</t>
  </si>
  <si>
    <t>CDZXD55</t>
  </si>
  <si>
    <t>SH2023280</t>
  </si>
  <si>
    <t>津市市药山镇临东村</t>
  </si>
  <si>
    <t>CDZXD56</t>
  </si>
  <si>
    <t>SH2023281</t>
  </si>
  <si>
    <t>津市市毛里湖镇青苗村</t>
  </si>
  <si>
    <t>CDZXD57</t>
  </si>
  <si>
    <t>SH2023282</t>
  </si>
  <si>
    <t>津市市白衣镇金坪村</t>
  </si>
  <si>
    <t>CDZXD58</t>
  </si>
  <si>
    <t>SH2023283</t>
  </si>
  <si>
    <t>鼎城区周家店镇恒丰村</t>
  </si>
  <si>
    <t>CDZXD59</t>
  </si>
  <si>
    <t>SH2023284</t>
  </si>
  <si>
    <t>鼎城区石公桥镇三堰村</t>
  </si>
  <si>
    <t>CDZXD60</t>
  </si>
  <si>
    <t>SH2023285</t>
  </si>
  <si>
    <t>鼎城区双桥坪镇涂家坪村</t>
  </si>
  <si>
    <t>CDZXD61</t>
  </si>
  <si>
    <t>SH2023286</t>
  </si>
  <si>
    <t>鼎城区周家店镇鹅公桥村</t>
  </si>
  <si>
    <t>CDZXD62</t>
  </si>
  <si>
    <t>SH2023287</t>
  </si>
  <si>
    <t>鼎城区双桥坪镇南阳坪村</t>
  </si>
  <si>
    <t>温玖26</t>
  </si>
  <si>
    <t>CDZXD63</t>
  </si>
  <si>
    <t>SH2023288</t>
  </si>
  <si>
    <t>鼎城区周家店镇荷花村</t>
  </si>
  <si>
    <t>CDZXD64</t>
  </si>
  <si>
    <t>SH2023289</t>
  </si>
  <si>
    <t>西湖管理区西洲乡田园村</t>
  </si>
  <si>
    <t>CDZXD65</t>
  </si>
  <si>
    <t>SH2023290</t>
  </si>
  <si>
    <t>西湖管理区西洲乡黄泥湖村</t>
  </si>
  <si>
    <t>CDZXD66</t>
  </si>
  <si>
    <t>SH2023291</t>
  </si>
  <si>
    <t>西湖管理区西湖镇旺禄村</t>
  </si>
  <si>
    <t>CDZXD67</t>
  </si>
  <si>
    <t>SH2023292</t>
  </si>
  <si>
    <t>西湖管理区西湖镇旺福村</t>
  </si>
  <si>
    <t>CDZXD68</t>
  </si>
  <si>
    <t>SH2023294</t>
  </si>
  <si>
    <t>汉寿县聂家桥镇十甲山村</t>
  </si>
  <si>
    <t>CDZXD69</t>
  </si>
  <si>
    <t>SH2023295</t>
  </si>
  <si>
    <t>汉寿县坡头镇联兴村</t>
  </si>
  <si>
    <t>CDZXD70</t>
  </si>
  <si>
    <t>SH2023296</t>
  </si>
  <si>
    <t>汉寿县酉港镇鼎山村</t>
  </si>
  <si>
    <t>CDZXD71</t>
  </si>
  <si>
    <t>SH2023297</t>
  </si>
  <si>
    <t>汉寿县毛家滩乡教门岗村</t>
  </si>
  <si>
    <t>普早籼</t>
  </si>
  <si>
    <t>CDZXD72</t>
  </si>
  <si>
    <t>SH2023299</t>
  </si>
  <si>
    <t>汉寿县罐头嘴镇南赶村</t>
  </si>
  <si>
    <t>CDZXD73</t>
  </si>
  <si>
    <t>SH2023300</t>
  </si>
  <si>
    <t>汉寿县岩汪湖镇金盆岭村</t>
  </si>
  <si>
    <t>CDZXD74</t>
  </si>
  <si>
    <t>SH2023301</t>
  </si>
  <si>
    <t>汉寿县洋淘湖镇建设村</t>
  </si>
  <si>
    <t>CDZXD75</t>
  </si>
  <si>
    <t>SH2023302</t>
  </si>
  <si>
    <t>汉寿县坡头镇南堤村</t>
  </si>
  <si>
    <t>CDZXD76</t>
  </si>
  <si>
    <t>SH2023304</t>
  </si>
  <si>
    <t>汉寿县洋淘湖乡红星村</t>
  </si>
  <si>
    <t>中早籼32号</t>
  </si>
  <si>
    <t>CDZXD77</t>
  </si>
  <si>
    <t>SH2023305</t>
  </si>
  <si>
    <t>汉寿县洲口镇东风村</t>
  </si>
  <si>
    <t>CDZXD78</t>
  </si>
  <si>
    <t>SH2023315</t>
  </si>
  <si>
    <t>鼎城区镇德桥镇乔家岗村</t>
  </si>
  <si>
    <t>CDZXD79</t>
  </si>
  <si>
    <t>SH2023316</t>
  </si>
  <si>
    <t>鼎城区镇德桥镇水浒庙村</t>
  </si>
  <si>
    <t>CDZXD80</t>
  </si>
  <si>
    <t>SH2023328</t>
  </si>
  <si>
    <t>鼎城区中河口镇南洲村</t>
  </si>
  <si>
    <t>CDZXD81</t>
  </si>
  <si>
    <t>SH2023329</t>
  </si>
  <si>
    <t>鼎城区蒿子港镇同乐村</t>
  </si>
  <si>
    <t>CDZXD82</t>
  </si>
  <si>
    <t>SH2023333</t>
  </si>
  <si>
    <t>鼎城区斗姆湖街道南垸社区</t>
  </si>
  <si>
    <t>CDZXD83</t>
  </si>
  <si>
    <t>SH2023336</t>
  </si>
  <si>
    <t>鼎城区韩公渡镇龙庵村</t>
  </si>
  <si>
    <t>CDZXD84</t>
  </si>
  <si>
    <t>SH2023337</t>
  </si>
  <si>
    <t>鼎城区牛鼻滩镇谈家河</t>
  </si>
  <si>
    <t>CDZXD85</t>
  </si>
  <si>
    <t>SH2023347</t>
  </si>
  <si>
    <t>临澧县合口镇陈湖村</t>
  </si>
  <si>
    <t>CDZXD86</t>
  </si>
  <si>
    <t>SH2023348</t>
  </si>
  <si>
    <t>临澧县新安镇李溶村</t>
  </si>
  <si>
    <t>CDZXD87</t>
  </si>
  <si>
    <t>SH2023349</t>
  </si>
  <si>
    <t>临澧县刻木山乡彭市社区</t>
  </si>
  <si>
    <t>CDZXD88</t>
  </si>
  <si>
    <t>SH2023350</t>
  </si>
  <si>
    <t>临澧县合口镇回龙村</t>
  </si>
  <si>
    <t>CDZXD89</t>
  </si>
  <si>
    <t>SH2023351</t>
  </si>
  <si>
    <t>临澧县新安镇栗龙村</t>
  </si>
  <si>
    <t>CDZXD90</t>
  </si>
  <si>
    <t>SH2023352</t>
  </si>
  <si>
    <t>临澧县停弦渡镇新溪村</t>
  </si>
  <si>
    <t>CDZXD91</t>
  </si>
  <si>
    <t>SH2023353</t>
  </si>
  <si>
    <t>临澧县合口镇龙池堰村</t>
  </si>
  <si>
    <t>CDZXD92</t>
  </si>
  <si>
    <t>SH2023354</t>
  </si>
  <si>
    <t>临澧县新安福镇丰登村</t>
  </si>
  <si>
    <t>湘早籼39</t>
  </si>
  <si>
    <t>CDZXD93</t>
  </si>
  <si>
    <t>SH2023355</t>
  </si>
  <si>
    <t>临澧县望城街道和平村</t>
  </si>
  <si>
    <t>CDZXD94</t>
  </si>
  <si>
    <t>SH2023356</t>
  </si>
  <si>
    <t>临澧县佘市镇高桥村</t>
  </si>
  <si>
    <t>CDZXD95</t>
  </si>
  <si>
    <t>SH2023357</t>
  </si>
  <si>
    <t>临澧县佘市镇荷花社区</t>
  </si>
  <si>
    <t>CDZXD96</t>
  </si>
  <si>
    <t>SH2023358</t>
  </si>
  <si>
    <t>临澧县刻木山乡群玉村</t>
  </si>
  <si>
    <t>CDZXD97</t>
  </si>
  <si>
    <t>SH2023370</t>
  </si>
  <si>
    <t>石门县蒙泉镇大桐桥村</t>
  </si>
  <si>
    <t>CDZXD98</t>
  </si>
  <si>
    <t>SH2023371</t>
  </si>
  <si>
    <t>石门县蒙泉镇白洋湖</t>
  </si>
  <si>
    <t>普杂</t>
  </si>
  <si>
    <t>CDZXD99</t>
  </si>
  <si>
    <t>SH2023380</t>
  </si>
  <si>
    <t>西洞庭管理区祝丰镇涂家湖村</t>
  </si>
  <si>
    <t>中嘉早83</t>
  </si>
  <si>
    <t>CDZXD100</t>
  </si>
  <si>
    <t>SH2023381</t>
  </si>
  <si>
    <t>CDZXD101</t>
  </si>
  <si>
    <t>SH2023382</t>
  </si>
  <si>
    <t>西洞庭管理区祝丰镇唐林村</t>
  </si>
  <si>
    <t>中嘉早24</t>
  </si>
  <si>
    <t>CDZXD102</t>
  </si>
  <si>
    <t>SH2023383</t>
  </si>
  <si>
    <t>西洞庭管理区祝丰镇紫湾村</t>
  </si>
  <si>
    <t>中嘉早17</t>
  </si>
  <si>
    <t>CDZXD103</t>
  </si>
  <si>
    <t>SH2023384</t>
  </si>
  <si>
    <t>石门县二都街道双龙社区</t>
  </si>
  <si>
    <t>陵两优22</t>
  </si>
  <si>
    <t>CDZXD104</t>
  </si>
  <si>
    <t>SH2023385</t>
  </si>
  <si>
    <t>石门县夹山镇四都坪村12组</t>
  </si>
  <si>
    <t>陵两优7917</t>
  </si>
  <si>
    <t>CDZXD105</t>
  </si>
  <si>
    <t>SH2023392</t>
  </si>
  <si>
    <t>石门县蒙泉镇孙家嘴村</t>
  </si>
  <si>
    <t>中祖18</t>
  </si>
  <si>
    <t>CDZXD106</t>
  </si>
  <si>
    <t>SH2023394</t>
  </si>
  <si>
    <t>石门县蒙泉镇白洋湖社区2组</t>
  </si>
  <si>
    <t>陵两优7717</t>
  </si>
  <si>
    <t>CDZXD107</t>
  </si>
  <si>
    <t>SH2023398</t>
  </si>
  <si>
    <t>澧县澧南镇张家滩村</t>
  </si>
  <si>
    <t>570（早优）</t>
  </si>
  <si>
    <t>CDZXD108</t>
  </si>
  <si>
    <t>SH2023399</t>
  </si>
  <si>
    <t>澧县澧阳镇平阳村</t>
  </si>
  <si>
    <t>粒粒早（黄花占）</t>
  </si>
  <si>
    <t>CDZXD109</t>
  </si>
  <si>
    <t>SH2023400</t>
  </si>
  <si>
    <t>澧县涔南镇双铺村</t>
  </si>
  <si>
    <t>黄花占</t>
  </si>
  <si>
    <t>CDZXD110</t>
  </si>
  <si>
    <t>SH2023401</t>
  </si>
  <si>
    <t>澧县车溪乡韩德村</t>
  </si>
  <si>
    <t>CDZXD111</t>
  </si>
  <si>
    <t>SH2023402</t>
  </si>
  <si>
    <t>澧县小渡口镇伍公村</t>
  </si>
  <si>
    <t>CDZXD112</t>
  </si>
  <si>
    <t>SH2023403</t>
  </si>
  <si>
    <t>澧县梦溪镇三合村</t>
  </si>
  <si>
    <t>CDZXD113</t>
  </si>
  <si>
    <t>SH2023404</t>
  </si>
  <si>
    <t>澧县小渡口东风村</t>
  </si>
  <si>
    <t>CDZXD114</t>
  </si>
  <si>
    <t>SH2023405</t>
  </si>
  <si>
    <t>澧县城头山镇大杨村</t>
  </si>
  <si>
    <t>CDZXD115</t>
  </si>
  <si>
    <t>SH2023406</t>
  </si>
  <si>
    <t>澧县梦溪镇新堰村</t>
  </si>
  <si>
    <t>CDZXD116</t>
  </si>
  <si>
    <t>SH2023407</t>
  </si>
  <si>
    <t>澧县城头山镇群乐村</t>
  </si>
  <si>
    <t>CDZXD117</t>
  </si>
  <si>
    <t>SH2023408</t>
  </si>
  <si>
    <t>澧县大堰垱镇戴家河村</t>
  </si>
  <si>
    <t>CDZXD118</t>
  </si>
  <si>
    <t>SH2023409</t>
  </si>
  <si>
    <t>澧县城头山镇玉城村</t>
  </si>
  <si>
    <t>CDZXD119</t>
  </si>
  <si>
    <t>SH2023410</t>
  </si>
  <si>
    <t>澧县大堰垱宋家村</t>
  </si>
  <si>
    <t>CDZXD120</t>
  </si>
  <si>
    <t>SH2023411</t>
  </si>
  <si>
    <t>澧县大堰垱镇花圃村</t>
  </si>
  <si>
    <t>杂交</t>
  </si>
  <si>
    <t>CDZXD121</t>
  </si>
  <si>
    <t>SH2023412</t>
  </si>
  <si>
    <t>澧县大堰垱镇熊家湾村</t>
  </si>
  <si>
    <t>湘早籼45</t>
  </si>
  <si>
    <t>CDZXD122</t>
  </si>
  <si>
    <t>SH2023413</t>
  </si>
  <si>
    <t>澧县涔南镇曾家河社区</t>
  </si>
  <si>
    <t>CDZXD123</t>
  </si>
  <si>
    <t>SH2023414</t>
  </si>
  <si>
    <t>澧县梦溪镇涔河村</t>
  </si>
  <si>
    <t>CDZXD124</t>
  </si>
  <si>
    <t>SH2023415</t>
  </si>
  <si>
    <t>CDZXD125</t>
  </si>
  <si>
    <t>SH2023416</t>
  </si>
  <si>
    <t>澧县涔南镇五一村</t>
  </si>
  <si>
    <t>CDZXD126</t>
  </si>
  <si>
    <t>SH2023417</t>
  </si>
  <si>
    <t>桃源县剪市镇喜雨村</t>
  </si>
  <si>
    <t>CDZXD127</t>
  </si>
  <si>
    <t>SH2023446</t>
  </si>
  <si>
    <t>津市市毛里湖镇灯塔社区</t>
  </si>
  <si>
    <t>黏质土</t>
  </si>
  <si>
    <t>CDZXD128</t>
  </si>
  <si>
    <t>SH2023457</t>
  </si>
  <si>
    <t>桃花源管理区桃花源镇官庄村</t>
  </si>
  <si>
    <t>CDZXD129</t>
  </si>
  <si>
    <t>SH2023458</t>
  </si>
  <si>
    <t>桃花源管理区桃花源镇汤家山村</t>
  </si>
  <si>
    <t>CDZXD130</t>
  </si>
  <si>
    <t>SH2023476</t>
  </si>
  <si>
    <t>常德经开区石门桥镇石门桥村</t>
  </si>
  <si>
    <t>87旱</t>
  </si>
  <si>
    <t>CDZXD131</t>
  </si>
  <si>
    <t>SH2023479</t>
  </si>
  <si>
    <t>常德经开区石门桥镇二岗桥村</t>
  </si>
  <si>
    <t>CDZXD132</t>
  </si>
  <si>
    <t>SH2023480</t>
  </si>
  <si>
    <t>CDZXD133</t>
  </si>
  <si>
    <t>SH2023481</t>
  </si>
  <si>
    <t>桃源县泥窝潭乡五马寨村</t>
  </si>
  <si>
    <t>珠两优812</t>
  </si>
  <si>
    <t>CDZXD134</t>
  </si>
  <si>
    <t>SH2023482</t>
  </si>
  <si>
    <t>桃源县热市镇郝仙坪社区</t>
  </si>
  <si>
    <t>中早17</t>
  </si>
  <si>
    <t>CDZXD135</t>
  </si>
  <si>
    <t>SH2023483</t>
  </si>
  <si>
    <t>桃源县双溪口镇杨家坪村</t>
  </si>
  <si>
    <t>煜两优4156</t>
  </si>
  <si>
    <t>CDZXD136</t>
  </si>
  <si>
    <t>SH2023484</t>
  </si>
  <si>
    <t>桃源县漆河镇街头坪村</t>
  </si>
  <si>
    <t>珠两优39</t>
  </si>
  <si>
    <t>CDZXD137</t>
  </si>
  <si>
    <t>SH2023485</t>
  </si>
  <si>
    <t>桃源县沙坪镇太平村</t>
  </si>
  <si>
    <t>CDZXD138</t>
  </si>
  <si>
    <t>SH2023486</t>
  </si>
  <si>
    <t>桃源县杨溪桥镇铁山溪村</t>
  </si>
  <si>
    <t>CDZXD139</t>
  </si>
  <si>
    <t>SH2023487</t>
  </si>
  <si>
    <t>桃源县九溪镇板桥村</t>
  </si>
  <si>
    <t>CDZXD140</t>
  </si>
  <si>
    <t>SH2023488</t>
  </si>
  <si>
    <t>桃源县枫树维吾尔族回族乡万福新村</t>
  </si>
  <si>
    <t>CDZXD141</t>
  </si>
  <si>
    <t>SH2023489</t>
  </si>
  <si>
    <t>桃源县漆河镇黄甲铺社区</t>
  </si>
  <si>
    <t>陵两优211</t>
  </si>
  <si>
    <t>CDZXD142</t>
  </si>
  <si>
    <t>SH2023490</t>
  </si>
  <si>
    <t>桃源县理公港镇观音垭村</t>
  </si>
  <si>
    <t>CDZXD143</t>
  </si>
  <si>
    <t>SH2023491</t>
  </si>
  <si>
    <t>桃源县佘家坪镇东岳殿村</t>
  </si>
  <si>
    <t>CDZXD144</t>
  </si>
  <si>
    <t>SH2023492</t>
  </si>
  <si>
    <t>桃源县热市镇观凤鸣村</t>
  </si>
  <si>
    <t>CDZXD145</t>
  </si>
  <si>
    <t>SH2023493</t>
  </si>
  <si>
    <t>桃源县漳江街道高岩村</t>
  </si>
  <si>
    <t>CDZXD146</t>
  </si>
  <si>
    <t>SH2023494</t>
  </si>
  <si>
    <t>桃源县夷望溪镇岩巴嘴村</t>
  </si>
  <si>
    <t>珠两优139</t>
  </si>
  <si>
    <t>CDZXD147</t>
  </si>
  <si>
    <t>SH2023495</t>
  </si>
  <si>
    <t>桃花源管理区桃花源镇黄土坡村</t>
  </si>
  <si>
    <t>陵两优33</t>
  </si>
  <si>
    <t>CDZXD148</t>
  </si>
  <si>
    <t>SH2023496</t>
  </si>
  <si>
    <t>桃花源管理区桃花源镇清江铺村</t>
  </si>
  <si>
    <t>CDZXD149</t>
  </si>
  <si>
    <t>SH2023497</t>
  </si>
  <si>
    <t>柳叶湖管理区白鹤镇猴子巷村</t>
  </si>
  <si>
    <t>CDZXD150</t>
  </si>
  <si>
    <t>SH2023498</t>
  </si>
  <si>
    <t>柳叶湖管理区白鹤镇吴家口村</t>
  </si>
  <si>
    <t>CDZXD151</t>
  </si>
  <si>
    <t>SH2023499</t>
  </si>
  <si>
    <t>柳叶湖管理区白鹤镇同兴村</t>
  </si>
  <si>
    <t>CDZXD152</t>
  </si>
  <si>
    <t>SH2023500</t>
  </si>
  <si>
    <t>柳叶湖管理区白鹤镇卸甲洲村</t>
  </si>
  <si>
    <t>CDZXD153</t>
  </si>
  <si>
    <t>SH2023522</t>
  </si>
  <si>
    <t>武陵区芦荻山乡玉带桥村</t>
  </si>
  <si>
    <t>CDZXD154</t>
  </si>
  <si>
    <t>SH2023523</t>
  </si>
  <si>
    <t>武陵区芦荻山乡双往垱村</t>
  </si>
  <si>
    <t>CDZXD155</t>
  </si>
  <si>
    <t>SH2023524</t>
  </si>
  <si>
    <t>武陵区芦荻山乡蓼子坪村</t>
  </si>
  <si>
    <t>CDZXD156</t>
  </si>
  <si>
    <t>SH2023525</t>
  </si>
  <si>
    <t>CDZXD157</t>
  </si>
  <si>
    <t>SH2023526</t>
  </si>
  <si>
    <t>武陵区芦荻山乡芦山社区</t>
  </si>
  <si>
    <t>CDZXD158</t>
  </si>
  <si>
    <t>SH2023527</t>
  </si>
  <si>
    <t>CDZXD159</t>
  </si>
  <si>
    <t>SH2023528</t>
  </si>
  <si>
    <t>武陵区丹州镇三湖村</t>
  </si>
  <si>
    <t>中早119</t>
  </si>
  <si>
    <t>CDZXD160</t>
  </si>
  <si>
    <t>SH2023530</t>
  </si>
  <si>
    <t>武陵区河洑镇雷坛岗村</t>
  </si>
  <si>
    <t xml:space="preserve">注：检测数值保留小数点后一位。土壤类型地理环境填：砂质土、黏质土、壤土或其他 4选1。
</t>
  </si>
  <si>
    <t>附表3-5</t>
  </si>
  <si>
    <t>油菜籽质量调查检验数据表</t>
  </si>
  <si>
    <t>含油量
（%）</t>
  </si>
  <si>
    <t>未熟粒（%）</t>
  </si>
  <si>
    <t>热损伤粒
（%）</t>
  </si>
  <si>
    <t>生芽粒
（%）</t>
  </si>
  <si>
    <t>生霉粒
（%）</t>
  </si>
  <si>
    <t>色泽
气味</t>
  </si>
  <si>
    <t>芥酸含量
（%）</t>
  </si>
  <si>
    <t xml:space="preserve">注：检测数值保留小数点后一位。
</t>
  </si>
  <si>
    <t>附表3-9</t>
  </si>
  <si>
    <t>稻谷质量调查结果分析表</t>
  </si>
  <si>
    <t xml:space="preserve">          分析项目
省份</t>
  </si>
  <si>
    <t>检验结果分析</t>
  </si>
  <si>
    <t>数量统计</t>
  </si>
  <si>
    <t>千粒重</t>
  </si>
  <si>
    <t>出糙率
%</t>
  </si>
  <si>
    <t>不完善粒率/%</t>
  </si>
  <si>
    <t>样品
总数</t>
  </si>
  <si>
    <t>出糙率,%</t>
  </si>
  <si>
    <t>整精米率，%</t>
  </si>
  <si>
    <t>黄粒米
%</t>
  </si>
  <si>
    <t>谷外糙米
%</t>
  </si>
  <si>
    <t>三等
以上</t>
  </si>
  <si>
    <t>一等</t>
  </si>
  <si>
    <t>二等</t>
  </si>
  <si>
    <t>三等</t>
  </si>
  <si>
    <t>四等</t>
  </si>
  <si>
    <t>五等</t>
  </si>
  <si>
    <t>等外</t>
  </si>
  <si>
    <t>≤1.0</t>
  </si>
  <si>
    <t>≤2.0</t>
  </si>
  <si>
    <t>省份</t>
  </si>
  <si>
    <t>最大值</t>
  </si>
  <si>
    <t>/</t>
  </si>
  <si>
    <t>最小值</t>
  </si>
  <si>
    <t>平均值</t>
  </si>
  <si>
    <t>样品个数</t>
  </si>
  <si>
    <t>所占比例</t>
  </si>
  <si>
    <t>地市2</t>
  </si>
  <si>
    <t>……</t>
  </si>
  <si>
    <t>注：1.除样品数保留整数外，其他保留小数点后一位。
    2.“/”处表示空白，不填写任何内容。</t>
  </si>
  <si>
    <t>附表3-12</t>
  </si>
  <si>
    <t>油菜籽质量调查结果分析表</t>
  </si>
  <si>
    <t>水分
（%）</t>
  </si>
  <si>
    <t>含油量，%</t>
  </si>
  <si>
    <t>未熟粒，%</t>
  </si>
  <si>
    <t>热损伤粒，%</t>
  </si>
  <si>
    <t>生芽粒%</t>
  </si>
  <si>
    <t>生霉粒%</t>
  </si>
  <si>
    <t>芥酸含量%</t>
  </si>
  <si>
    <t>2～6</t>
  </si>
  <si>
    <t>6.0～15.0</t>
  </si>
  <si>
    <t>&gt;15.0</t>
  </si>
  <si>
    <t>≤0.5</t>
  </si>
  <si>
    <t>0.5～1.0</t>
  </si>
  <si>
    <t>1.0～2.0</t>
  </si>
  <si>
    <t>&gt;2.0</t>
  </si>
  <si>
    <t>≤3.0</t>
  </si>
  <si>
    <t>地市1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</si>
</sst>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);[Red]\(0.0\)"/>
    <numFmt numFmtId="178" formatCode="0.0_ "/>
    <numFmt numFmtId="179" formatCode="0_ "/>
    <numFmt numFmtId="180" formatCode="0_);[Red]\(0\)"/>
  </numFmts>
  <fonts count="5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4"/>
      <name val="楷体_GB2312"/>
      <family val="0"/>
    </font>
    <font>
      <sz val="9"/>
      <name val="黑体"/>
      <family val="3"/>
    </font>
    <font>
      <sz val="9"/>
      <name val="仿宋_GB2312"/>
      <family val="3"/>
    </font>
    <font>
      <sz val="10"/>
      <name val="黑体"/>
      <family val="3"/>
    </font>
    <font>
      <sz val="16"/>
      <name val="宋体"/>
      <family val="0"/>
    </font>
    <font>
      <sz val="22"/>
      <name val="华康简标题宋"/>
      <family val="3"/>
    </font>
    <font>
      <sz val="10"/>
      <name val="仿宋_GB2312"/>
      <family val="3"/>
    </font>
    <font>
      <sz val="12"/>
      <name val="仿宋_GB2312"/>
      <family val="3"/>
    </font>
    <font>
      <sz val="8"/>
      <color indexed="8"/>
      <name val="仿宋_GB2312"/>
      <family val="3"/>
    </font>
    <font>
      <sz val="10"/>
      <name val="宋体"/>
      <family val="0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仿宋_GB2312"/>
      <family val="3"/>
    </font>
    <font>
      <sz val="9"/>
      <color theme="1"/>
      <name val="仿宋_GB2312"/>
      <family val="3"/>
    </font>
  </fonts>
  <fills count="3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double"/>
    </border>
    <border>
      <left style="thin"/>
      <right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9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9" borderId="0" applyNumberFormat="0" applyBorder="0" applyAlignment="0" applyProtection="0"/>
    <xf numFmtId="0" fontId="38" fillId="25" borderId="0" applyNumberFormat="0" applyBorder="0" applyAlignment="0" applyProtection="0"/>
    <xf numFmtId="0" fontId="0" fillId="0" borderId="0">
      <alignment/>
      <protection/>
    </xf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58" applyFont="1" applyBorder="1" applyAlignment="1">
      <alignment horizontal="center" vertical="center" wrapText="1" shrinkToFit="1"/>
      <protection/>
    </xf>
    <xf numFmtId="177" fontId="6" fillId="0" borderId="16" xfId="58" applyNumberFormat="1" applyFont="1" applyBorder="1" applyAlignment="1">
      <alignment horizontal="center" vertical="center" wrapText="1"/>
      <protection/>
    </xf>
    <xf numFmtId="177" fontId="6" fillId="0" borderId="16" xfId="0" applyNumberFormat="1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center" vertical="center" wrapText="1"/>
    </xf>
    <xf numFmtId="0" fontId="6" fillId="0" borderId="18" xfId="58" applyFont="1" applyBorder="1" applyAlignment="1">
      <alignment horizontal="center" vertical="center" wrapText="1" shrinkToFit="1"/>
      <protection/>
    </xf>
    <xf numFmtId="177" fontId="6" fillId="0" borderId="18" xfId="58" applyNumberFormat="1" applyFont="1" applyBorder="1" applyAlignment="1">
      <alignment horizontal="center" vertical="center" wrapText="1"/>
      <protection/>
    </xf>
    <xf numFmtId="177" fontId="6" fillId="0" borderId="18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center" vertical="center" wrapText="1"/>
    </xf>
    <xf numFmtId="177" fontId="7" fillId="0" borderId="20" xfId="0" applyNumberFormat="1" applyFont="1" applyFill="1" applyBorder="1" applyAlignment="1">
      <alignment horizontal="center" vertical="center" wrapText="1"/>
    </xf>
    <xf numFmtId="177" fontId="7" fillId="0" borderId="21" xfId="0" applyNumberFormat="1" applyFont="1" applyBorder="1" applyAlignment="1">
      <alignment horizontal="center" vertical="center" wrapText="1"/>
    </xf>
    <xf numFmtId="178" fontId="7" fillId="0" borderId="21" xfId="0" applyNumberFormat="1" applyFont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77" fontId="7" fillId="0" borderId="24" xfId="0" applyNumberFormat="1" applyFont="1" applyFill="1" applyBorder="1" applyAlignment="1">
      <alignment horizontal="center" vertical="center" wrapText="1"/>
    </xf>
    <xf numFmtId="10" fontId="7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77" fontId="7" fillId="0" borderId="19" xfId="0" applyNumberFormat="1" applyFont="1" applyFill="1" applyBorder="1" applyAlignment="1">
      <alignment horizontal="center" vertical="center" wrapText="1"/>
    </xf>
    <xf numFmtId="177" fontId="7" fillId="0" borderId="18" xfId="0" applyNumberFormat="1" applyFont="1" applyBorder="1" applyAlignment="1">
      <alignment horizontal="center" vertical="center" wrapText="1"/>
    </xf>
    <xf numFmtId="178" fontId="7" fillId="0" borderId="18" xfId="0" applyNumberFormat="1" applyFont="1" applyBorder="1" applyAlignment="1">
      <alignment horizontal="center" vertical="center"/>
    </xf>
    <xf numFmtId="178" fontId="7" fillId="0" borderId="27" xfId="0" applyNumberFormat="1" applyFont="1" applyBorder="1" applyAlignment="1">
      <alignment horizontal="center" vertical="center"/>
    </xf>
    <xf numFmtId="178" fontId="7" fillId="0" borderId="28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78" fontId="7" fillId="0" borderId="29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7" fontId="7" fillId="0" borderId="31" xfId="0" applyNumberFormat="1" applyFont="1" applyFill="1" applyBorder="1" applyAlignment="1">
      <alignment horizontal="center" vertical="center" wrapText="1"/>
    </xf>
    <xf numFmtId="10" fontId="7" fillId="0" borderId="32" xfId="0" applyNumberFormat="1" applyFont="1" applyBorder="1" applyAlignment="1">
      <alignment horizontal="center" vertical="center" wrapText="1"/>
    </xf>
    <xf numFmtId="178" fontId="7" fillId="0" borderId="32" xfId="0" applyNumberFormat="1" applyFont="1" applyBorder="1" applyAlignment="1">
      <alignment horizontal="center" vertical="center" wrapText="1"/>
    </xf>
    <xf numFmtId="0" fontId="7" fillId="0" borderId="33" xfId="58" applyFont="1" applyFill="1" applyBorder="1" applyAlignment="1">
      <alignment horizontal="left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79" fontId="7" fillId="0" borderId="18" xfId="0" applyNumberFormat="1" applyFont="1" applyBorder="1" applyAlignment="1">
      <alignment horizontal="center" vertical="center"/>
    </xf>
    <xf numFmtId="179" fontId="7" fillId="0" borderId="21" xfId="0" applyNumberFormat="1" applyFont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176" fontId="7" fillId="0" borderId="3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176" fontId="7" fillId="0" borderId="32" xfId="0" applyNumberFormat="1" applyFont="1" applyBorder="1" applyAlignment="1">
      <alignment horizontal="center" vertical="center" wrapText="1"/>
    </xf>
    <xf numFmtId="176" fontId="6" fillId="0" borderId="36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 wrapText="1"/>
    </xf>
    <xf numFmtId="176" fontId="7" fillId="0" borderId="38" xfId="0" applyNumberFormat="1" applyFont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 wrapText="1"/>
    </xf>
    <xf numFmtId="177" fontId="6" fillId="0" borderId="22" xfId="0" applyNumberFormat="1" applyFont="1" applyFill="1" applyBorder="1" applyAlignment="1">
      <alignment horizontal="center" vertical="center" wrapText="1"/>
    </xf>
    <xf numFmtId="177" fontId="6" fillId="0" borderId="35" xfId="0" applyNumberFormat="1" applyFont="1" applyFill="1" applyBorder="1" applyAlignment="1">
      <alignment horizontal="center" vertical="center" wrapText="1"/>
    </xf>
    <xf numFmtId="177" fontId="6" fillId="0" borderId="23" xfId="0" applyNumberFormat="1" applyFont="1" applyFill="1" applyBorder="1" applyAlignment="1">
      <alignment horizontal="center" vertical="center" wrapText="1"/>
    </xf>
    <xf numFmtId="177" fontId="8" fillId="0" borderId="21" xfId="58" applyNumberFormat="1" applyFont="1" applyBorder="1" applyAlignment="1">
      <alignment horizontal="center" vertical="center" wrapText="1"/>
      <protection/>
    </xf>
    <xf numFmtId="10" fontId="7" fillId="0" borderId="37" xfId="0" applyNumberFormat="1" applyFont="1" applyBorder="1" applyAlignment="1">
      <alignment horizontal="center" vertical="center" wrapText="1"/>
    </xf>
    <xf numFmtId="179" fontId="7" fillId="0" borderId="30" xfId="0" applyNumberFormat="1" applyFont="1" applyBorder="1" applyAlignment="1">
      <alignment horizontal="center" vertical="center"/>
    </xf>
    <xf numFmtId="0" fontId="7" fillId="0" borderId="33" xfId="58" applyFont="1" applyFill="1" applyBorder="1" applyAlignment="1">
      <alignment horizontal="left" vertical="center"/>
      <protection/>
    </xf>
    <xf numFmtId="177" fontId="6" fillId="0" borderId="30" xfId="0" applyNumberFormat="1" applyFont="1" applyFill="1" applyBorder="1" applyAlignment="1">
      <alignment horizontal="center" vertical="center" wrapText="1"/>
    </xf>
    <xf numFmtId="177" fontId="8" fillId="0" borderId="22" xfId="58" applyNumberFormat="1" applyFont="1" applyBorder="1" applyAlignment="1">
      <alignment horizontal="center" vertical="center" wrapText="1"/>
      <protection/>
    </xf>
    <xf numFmtId="0" fontId="8" fillId="0" borderId="22" xfId="58" applyFont="1" applyBorder="1" applyAlignment="1">
      <alignment horizontal="center" vertical="center" wrapText="1" shrinkToFit="1"/>
      <protection/>
    </xf>
    <xf numFmtId="177" fontId="8" fillId="0" borderId="16" xfId="58" applyNumberFormat="1" applyFont="1" applyBorder="1" applyAlignment="1">
      <alignment horizontal="center" vertical="center" wrapText="1"/>
      <protection/>
    </xf>
    <xf numFmtId="0" fontId="8" fillId="0" borderId="16" xfId="58" applyFont="1" applyBorder="1" applyAlignment="1">
      <alignment horizontal="center" vertical="center" wrapText="1"/>
      <protection/>
    </xf>
    <xf numFmtId="177" fontId="8" fillId="0" borderId="21" xfId="58" applyNumberFormat="1" applyFont="1" applyFill="1" applyBorder="1" applyAlignment="1">
      <alignment horizontal="center" vertical="center" wrapText="1"/>
      <protection/>
    </xf>
    <xf numFmtId="177" fontId="8" fillId="0" borderId="18" xfId="58" applyNumberFormat="1" applyFont="1" applyBorder="1" applyAlignment="1">
      <alignment horizontal="center" vertical="center" wrapText="1"/>
      <protection/>
    </xf>
    <xf numFmtId="0" fontId="8" fillId="0" borderId="18" xfId="58" applyFont="1" applyBorder="1" applyAlignment="1">
      <alignment horizontal="center" vertical="center" wrapText="1" shrinkToFit="1"/>
      <protection/>
    </xf>
    <xf numFmtId="0" fontId="8" fillId="0" borderId="18" xfId="58" applyFont="1" applyBorder="1" applyAlignment="1">
      <alignment horizontal="center" vertical="center" wrapText="1"/>
      <protection/>
    </xf>
    <xf numFmtId="179" fontId="7" fillId="0" borderId="22" xfId="0" applyNumberFormat="1" applyFont="1" applyBorder="1" applyAlignment="1">
      <alignment horizontal="center" vertical="center"/>
    </xf>
    <xf numFmtId="9" fontId="7" fillId="0" borderId="25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0" fontId="7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6" fontId="7" fillId="0" borderId="37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76" fontId="7" fillId="0" borderId="38" xfId="0" applyNumberFormat="1" applyFont="1" applyBorder="1" applyAlignment="1">
      <alignment horizontal="center" vertical="center" wrapText="1"/>
    </xf>
    <xf numFmtId="0" fontId="0" fillId="0" borderId="0" xfId="58" applyFill="1" applyBorder="1" applyAlignment="1">
      <alignment horizontal="center"/>
      <protection/>
    </xf>
    <xf numFmtId="0" fontId="0" fillId="0" borderId="0" xfId="58" applyFill="1">
      <alignment/>
      <protection/>
    </xf>
    <xf numFmtId="177" fontId="0" fillId="0" borderId="0" xfId="58" applyNumberFormat="1" applyFill="1">
      <alignment/>
      <protection/>
    </xf>
    <xf numFmtId="180" fontId="0" fillId="0" borderId="0" xfId="58" applyNumberFormat="1" applyFill="1">
      <alignment/>
      <protection/>
    </xf>
    <xf numFmtId="0" fontId="0" fillId="0" borderId="0" xfId="58" applyFill="1" applyBorder="1">
      <alignment/>
      <protection/>
    </xf>
    <xf numFmtId="0" fontId="3" fillId="0" borderId="0" xfId="58" applyFont="1" applyFill="1" applyBorder="1" applyAlignment="1">
      <alignment horizontal="left"/>
      <protection/>
    </xf>
    <xf numFmtId="0" fontId="4" fillId="0" borderId="0" xfId="58" applyFont="1" applyFill="1" applyAlignment="1">
      <alignment horizontal="center" vertical="center"/>
      <protection/>
    </xf>
    <xf numFmtId="0" fontId="0" fillId="0" borderId="10" xfId="58" applyFill="1" applyBorder="1" applyAlignment="1">
      <alignment horizontal="center"/>
      <protection/>
    </xf>
    <xf numFmtId="0" fontId="9" fillId="0" borderId="10" xfId="58" applyFont="1" applyFill="1" applyBorder="1" applyAlignment="1">
      <alignment vertical="center"/>
      <protection/>
    </xf>
    <xf numFmtId="0" fontId="10" fillId="0" borderId="0" xfId="58" applyFont="1" applyFill="1" applyAlignment="1">
      <alignment horizontal="center" vertical="center"/>
      <protection/>
    </xf>
    <xf numFmtId="0" fontId="8" fillId="0" borderId="39" xfId="58" applyFont="1" applyBorder="1" applyAlignment="1">
      <alignment horizontal="center" vertical="center" wrapText="1" shrinkToFit="1"/>
      <protection/>
    </xf>
    <xf numFmtId="0" fontId="8" fillId="0" borderId="21" xfId="58" applyFont="1" applyBorder="1" applyAlignment="1">
      <alignment horizontal="center" vertical="center" wrapText="1" shrinkToFit="1"/>
      <protection/>
    </xf>
    <xf numFmtId="0" fontId="11" fillId="0" borderId="21" xfId="58" applyFont="1" applyFill="1" applyBorder="1" applyAlignment="1">
      <alignment horizontal="center"/>
      <protection/>
    </xf>
    <xf numFmtId="0" fontId="11" fillId="0" borderId="21" xfId="58" applyFont="1" applyFill="1" applyBorder="1" applyAlignment="1">
      <alignment horizontal="center" vertical="center"/>
      <protection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2" fillId="0" borderId="0" xfId="58" applyFont="1" applyFill="1" applyAlignment="1">
      <alignment horizontal="center" vertical="center" wrapText="1"/>
      <protection/>
    </xf>
    <xf numFmtId="177" fontId="9" fillId="0" borderId="10" xfId="58" applyNumberFormat="1" applyFont="1" applyFill="1" applyBorder="1" applyAlignment="1">
      <alignment vertical="center"/>
      <protection/>
    </xf>
    <xf numFmtId="177" fontId="8" fillId="0" borderId="39" xfId="58" applyNumberFormat="1" applyFont="1" applyBorder="1" applyAlignment="1">
      <alignment horizontal="center" vertical="center" wrapText="1"/>
      <protection/>
    </xf>
    <xf numFmtId="177" fontId="8" fillId="0" borderId="40" xfId="0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7" fontId="8" fillId="0" borderId="19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8" fontId="11" fillId="0" borderId="21" xfId="58" applyNumberFormat="1" applyFont="1" applyFill="1" applyBorder="1" applyAlignment="1">
      <alignment horizontal="center"/>
      <protection/>
    </xf>
    <xf numFmtId="178" fontId="11" fillId="0" borderId="21" xfId="0" applyNumberFormat="1" applyFont="1" applyFill="1" applyBorder="1" applyAlignment="1">
      <alignment horizontal="center" vertical="center" shrinkToFit="1"/>
    </xf>
    <xf numFmtId="179" fontId="11" fillId="0" borderId="21" xfId="0" applyNumberFormat="1" applyFont="1" applyFill="1" applyBorder="1" applyAlignment="1">
      <alignment horizontal="center" vertical="center"/>
    </xf>
    <xf numFmtId="178" fontId="11" fillId="0" borderId="21" xfId="58" applyNumberFormat="1" applyFont="1" applyFill="1" applyBorder="1" applyAlignment="1">
      <alignment horizontal="center" vertical="center"/>
      <protection/>
    </xf>
    <xf numFmtId="178" fontId="11" fillId="0" borderId="21" xfId="0" applyNumberFormat="1" applyFont="1" applyFill="1" applyBorder="1" applyAlignment="1">
      <alignment horizontal="center" vertical="center"/>
    </xf>
    <xf numFmtId="179" fontId="11" fillId="0" borderId="21" xfId="0" applyNumberFormat="1" applyFont="1" applyFill="1" applyBorder="1" applyAlignment="1">
      <alignment horizontal="center" vertical="center" shrinkToFit="1"/>
    </xf>
    <xf numFmtId="180" fontId="9" fillId="0" borderId="10" xfId="58" applyNumberFormat="1" applyFont="1" applyFill="1" applyBorder="1" applyAlignment="1">
      <alignment vertical="center"/>
      <protection/>
    </xf>
    <xf numFmtId="177" fontId="8" fillId="0" borderId="39" xfId="0" applyNumberFormat="1" applyFont="1" applyFill="1" applyBorder="1" applyAlignment="1">
      <alignment horizontal="center" vertical="center" wrapText="1"/>
    </xf>
    <xf numFmtId="177" fontId="8" fillId="0" borderId="18" xfId="0" applyNumberFormat="1" applyFont="1" applyFill="1" applyBorder="1" applyAlignment="1">
      <alignment horizontal="center" vertical="center" wrapText="1"/>
    </xf>
    <xf numFmtId="178" fontId="0" fillId="0" borderId="0" xfId="58" applyNumberFormat="1" applyFill="1">
      <alignment/>
      <protection/>
    </xf>
    <xf numFmtId="0" fontId="8" fillId="0" borderId="16" xfId="58" applyFont="1" applyBorder="1" applyAlignment="1">
      <alignment horizontal="center" vertical="center" wrapText="1" shrinkToFit="1"/>
      <protection/>
    </xf>
    <xf numFmtId="0" fontId="8" fillId="0" borderId="41" xfId="58" applyFont="1" applyBorder="1" applyAlignment="1">
      <alignment horizontal="center" vertical="center" wrapText="1" shrinkToFit="1"/>
      <protection/>
    </xf>
    <xf numFmtId="0" fontId="8" fillId="0" borderId="42" xfId="58" applyFont="1" applyBorder="1" applyAlignment="1">
      <alignment horizontal="center" vertical="center" wrapText="1" shrinkToFit="1"/>
      <protection/>
    </xf>
    <xf numFmtId="0" fontId="8" fillId="0" borderId="43" xfId="58" applyFont="1" applyBorder="1" applyAlignment="1">
      <alignment horizontal="center" vertical="center" wrapText="1" shrinkToFit="1"/>
      <protection/>
    </xf>
    <xf numFmtId="0" fontId="8" fillId="0" borderId="44" xfId="58" applyFont="1" applyBorder="1" applyAlignment="1">
      <alignment horizontal="center" vertical="center" wrapText="1" shrinkToFit="1"/>
      <protection/>
    </xf>
    <xf numFmtId="0" fontId="11" fillId="0" borderId="21" xfId="58" applyFont="1" applyFill="1" applyBorder="1">
      <alignment/>
      <protection/>
    </xf>
    <xf numFmtId="0" fontId="54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shrinkToFit="1"/>
    </xf>
    <xf numFmtId="178" fontId="4" fillId="0" borderId="0" xfId="58" applyNumberFormat="1" applyFont="1" applyFill="1" applyAlignment="1">
      <alignment horizontal="center" vertical="center"/>
      <protection/>
    </xf>
    <xf numFmtId="178" fontId="9" fillId="0" borderId="10" xfId="58" applyNumberFormat="1" applyFont="1" applyFill="1" applyBorder="1" applyAlignment="1">
      <alignment vertical="center"/>
      <protection/>
    </xf>
    <xf numFmtId="180" fontId="8" fillId="0" borderId="16" xfId="58" applyNumberFormat="1" applyFont="1" applyBorder="1" applyAlignment="1">
      <alignment horizontal="center" vertical="center" wrapText="1"/>
      <protection/>
    </xf>
    <xf numFmtId="178" fontId="8" fillId="0" borderId="34" xfId="58" applyNumberFormat="1" applyFont="1" applyBorder="1" applyAlignment="1">
      <alignment horizontal="center" vertical="center" wrapText="1"/>
      <protection/>
    </xf>
    <xf numFmtId="178" fontId="8" fillId="0" borderId="27" xfId="58" applyNumberFormat="1" applyFont="1" applyBorder="1" applyAlignment="1">
      <alignment horizontal="center" vertical="center" wrapText="1"/>
      <protection/>
    </xf>
    <xf numFmtId="177" fontId="8" fillId="0" borderId="27" xfId="58" applyNumberFormat="1" applyFont="1" applyBorder="1" applyAlignment="1">
      <alignment horizontal="center" vertical="center" wrapText="1"/>
      <protection/>
    </xf>
    <xf numFmtId="180" fontId="8" fillId="0" borderId="18" xfId="58" applyNumberFormat="1" applyFont="1" applyBorder="1" applyAlignment="1">
      <alignment horizontal="center" vertical="center" wrapText="1"/>
      <protection/>
    </xf>
    <xf numFmtId="178" fontId="8" fillId="0" borderId="21" xfId="58" applyNumberFormat="1" applyFont="1" applyBorder="1" applyAlignment="1">
      <alignment horizontal="center" vertical="center" wrapText="1"/>
      <protection/>
    </xf>
    <xf numFmtId="178" fontId="55" fillId="0" borderId="21" xfId="0" applyNumberFormat="1" applyFont="1" applyFill="1" applyBorder="1" applyAlignment="1">
      <alignment horizontal="center" vertical="center" wrapText="1"/>
    </xf>
    <xf numFmtId="177" fontId="11" fillId="0" borderId="21" xfId="58" applyNumberFormat="1" applyFont="1" applyFill="1" applyBorder="1">
      <alignment/>
      <protection/>
    </xf>
    <xf numFmtId="0" fontId="55" fillId="0" borderId="21" xfId="0" applyFont="1" applyFill="1" applyBorder="1" applyAlignment="1">
      <alignment horizontal="center" vertical="center" wrapText="1"/>
    </xf>
    <xf numFmtId="0" fontId="55" fillId="0" borderId="21" xfId="0" applyNumberFormat="1" applyFont="1" applyFill="1" applyBorder="1" applyAlignment="1">
      <alignment horizontal="center" vertical="center" wrapText="1"/>
    </xf>
    <xf numFmtId="177" fontId="8" fillId="0" borderId="19" xfId="58" applyNumberFormat="1" applyFont="1" applyBorder="1" applyAlignment="1">
      <alignment horizontal="center" vertical="center" wrapText="1"/>
      <protection/>
    </xf>
    <xf numFmtId="178" fontId="8" fillId="0" borderId="16" xfId="58" applyNumberFormat="1" applyFont="1" applyBorder="1" applyAlignment="1">
      <alignment horizontal="center" vertical="center" wrapText="1"/>
      <protection/>
    </xf>
    <xf numFmtId="178" fontId="8" fillId="0" borderId="18" xfId="58" applyNumberFormat="1" applyFont="1" applyBorder="1" applyAlignment="1">
      <alignment horizontal="center" vertical="center" wrapText="1"/>
      <protection/>
    </xf>
    <xf numFmtId="177" fontId="11" fillId="0" borderId="21" xfId="58" applyNumberFormat="1" applyFont="1" applyFill="1" applyBorder="1" applyAlignment="1">
      <alignment horizontal="center" vertical="center"/>
      <protection/>
    </xf>
    <xf numFmtId="0" fontId="7" fillId="0" borderId="21" xfId="0" applyFont="1" applyFill="1" applyBorder="1" applyAlignment="1">
      <alignment horizontal="center" vertical="center" shrinkToFit="1"/>
    </xf>
    <xf numFmtId="177" fontId="11" fillId="0" borderId="22" xfId="58" applyNumberFormat="1" applyFont="1" applyFill="1" applyBorder="1">
      <alignment/>
      <protection/>
    </xf>
    <xf numFmtId="0" fontId="11" fillId="0" borderId="33" xfId="58" applyFont="1" applyFill="1" applyBorder="1" applyAlignment="1">
      <alignment horizontal="left" vertical="center" wrapText="1"/>
      <protection/>
    </xf>
    <xf numFmtId="0" fontId="11" fillId="0" borderId="33" xfId="58" applyFont="1" applyFill="1" applyBorder="1" applyAlignment="1">
      <alignment horizontal="left" vertical="center"/>
      <protection/>
    </xf>
    <xf numFmtId="178" fontId="11" fillId="0" borderId="33" xfId="58" applyNumberFormat="1" applyFont="1" applyFill="1" applyBorder="1" applyAlignment="1">
      <alignment horizontal="left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178" fontId="11" fillId="0" borderId="0" xfId="58" applyNumberFormat="1" applyFont="1" applyFill="1">
      <alignment/>
      <protection/>
    </xf>
    <xf numFmtId="177" fontId="11" fillId="0" borderId="0" xfId="58" applyNumberFormat="1" applyFont="1" applyFill="1">
      <alignment/>
      <protection/>
    </xf>
    <xf numFmtId="0" fontId="11" fillId="0" borderId="0" xfId="58" applyFont="1" applyFill="1">
      <alignment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4 2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6"/>
  <sheetViews>
    <sheetView showGridLines="0" tabSelected="1" view="pageBreakPreview" zoomScale="115" zoomScaleSheetLayoutView="115" workbookViewId="0" topLeftCell="A1">
      <selection activeCell="F163" sqref="F163"/>
    </sheetView>
  </sheetViews>
  <sheetFormatPr defaultColWidth="9.00390625" defaultRowHeight="14.25"/>
  <cols>
    <col min="1" max="1" width="4.375" style="101" customWidth="1"/>
    <col min="2" max="2" width="5.625" style="102" customWidth="1"/>
    <col min="3" max="3" width="7.875" style="102" customWidth="1"/>
    <col min="4" max="4" width="6.375" style="102" customWidth="1"/>
    <col min="5" max="5" width="7.625" style="102" customWidth="1"/>
    <col min="6" max="6" width="14.00390625" style="102" customWidth="1"/>
    <col min="7" max="7" width="8.25390625" style="102" customWidth="1"/>
    <col min="8" max="8" width="7.875" style="102" customWidth="1"/>
    <col min="9" max="9" width="7.00390625" style="102" customWidth="1"/>
    <col min="10" max="10" width="7.125" style="102" customWidth="1"/>
    <col min="11" max="11" width="6.875" style="104" customWidth="1"/>
    <col min="12" max="12" width="5.125" style="133" customWidth="1"/>
    <col min="13" max="13" width="6.50390625" style="133" customWidth="1"/>
    <col min="14" max="14" width="6.50390625" style="103" customWidth="1"/>
    <col min="15" max="15" width="6.125" style="133" customWidth="1"/>
    <col min="16" max="17" width="6.125" style="103" customWidth="1"/>
    <col min="18" max="18" width="5.125" style="103" customWidth="1"/>
    <col min="19" max="20" width="5.125" style="102" customWidth="1"/>
    <col min="21" max="21" width="5.375" style="103" customWidth="1"/>
    <col min="22" max="22" width="5.875" style="133" customWidth="1"/>
    <col min="23" max="16384" width="9.00390625" style="105" customWidth="1"/>
  </cols>
  <sheetData>
    <row r="1" spans="1:4" ht="29.25" customHeight="1">
      <c r="A1" s="106" t="s">
        <v>0</v>
      </c>
      <c r="B1" s="106"/>
      <c r="C1" s="106"/>
      <c r="D1" s="106"/>
    </row>
    <row r="2" spans="1:22" ht="36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42"/>
      <c r="M2" s="142"/>
      <c r="N2" s="107"/>
      <c r="O2" s="142"/>
      <c r="P2" s="107"/>
      <c r="Q2" s="107"/>
      <c r="R2" s="107"/>
      <c r="S2" s="107"/>
      <c r="T2" s="107"/>
      <c r="U2" s="107"/>
      <c r="V2" s="142"/>
    </row>
    <row r="3" spans="1:22" ht="29.25">
      <c r="A3" s="108"/>
      <c r="B3" s="109"/>
      <c r="C3" s="110"/>
      <c r="D3" s="109"/>
      <c r="E3" s="109"/>
      <c r="F3" s="109"/>
      <c r="G3" s="109"/>
      <c r="H3" s="109"/>
      <c r="I3" s="109"/>
      <c r="J3" s="109"/>
      <c r="K3" s="130"/>
      <c r="L3" s="143"/>
      <c r="M3" s="143"/>
      <c r="N3" s="118"/>
      <c r="O3" s="143"/>
      <c r="P3" s="118"/>
      <c r="Q3" s="118"/>
      <c r="R3" s="118"/>
      <c r="S3" s="109"/>
      <c r="T3" s="109"/>
      <c r="U3" s="118"/>
      <c r="V3" s="143"/>
    </row>
    <row r="4" spans="1:22" s="101" customFormat="1" ht="22.5" customHeight="1">
      <c r="A4" s="134" t="s">
        <v>2</v>
      </c>
      <c r="B4" s="135" t="s">
        <v>3</v>
      </c>
      <c r="C4" s="111" t="s">
        <v>4</v>
      </c>
      <c r="D4" s="136" t="s">
        <v>5</v>
      </c>
      <c r="E4" s="134" t="s">
        <v>6</v>
      </c>
      <c r="F4" s="134" t="s">
        <v>7</v>
      </c>
      <c r="G4" s="112" t="s">
        <v>8</v>
      </c>
      <c r="H4" s="134" t="s">
        <v>9</v>
      </c>
      <c r="I4" s="134" t="s">
        <v>10</v>
      </c>
      <c r="J4" s="134" t="s">
        <v>11</v>
      </c>
      <c r="K4" s="144" t="s">
        <v>12</v>
      </c>
      <c r="L4" s="145" t="s">
        <v>13</v>
      </c>
      <c r="M4" s="146"/>
      <c r="N4" s="147"/>
      <c r="O4" s="146"/>
      <c r="P4" s="147"/>
      <c r="Q4" s="154"/>
      <c r="R4" s="119" t="s">
        <v>14</v>
      </c>
      <c r="S4" s="111" t="s">
        <v>15</v>
      </c>
      <c r="T4" s="134" t="s">
        <v>16</v>
      </c>
      <c r="U4" s="84" t="s">
        <v>17</v>
      </c>
      <c r="V4" s="155" t="s">
        <v>18</v>
      </c>
    </row>
    <row r="5" spans="1:22" s="101" customFormat="1" ht="24" customHeight="1">
      <c r="A5" s="88"/>
      <c r="B5" s="137"/>
      <c r="C5" s="88"/>
      <c r="D5" s="138"/>
      <c r="E5" s="88"/>
      <c r="F5" s="88"/>
      <c r="G5" s="112"/>
      <c r="H5" s="88"/>
      <c r="I5" s="88"/>
      <c r="J5" s="88"/>
      <c r="K5" s="148"/>
      <c r="L5" s="149" t="s">
        <v>19</v>
      </c>
      <c r="M5" s="149" t="s">
        <v>20</v>
      </c>
      <c r="N5" s="77" t="s">
        <v>21</v>
      </c>
      <c r="O5" s="149" t="s">
        <v>22</v>
      </c>
      <c r="P5" s="77" t="s">
        <v>23</v>
      </c>
      <c r="Q5" s="86" t="s">
        <v>24</v>
      </c>
      <c r="R5" s="87"/>
      <c r="S5" s="88"/>
      <c r="T5" s="88"/>
      <c r="U5" s="87"/>
      <c r="V5" s="156"/>
    </row>
    <row r="6" spans="1:22" ht="15.75" customHeight="1">
      <c r="A6" s="113">
        <v>1</v>
      </c>
      <c r="B6" s="139" t="s">
        <v>25</v>
      </c>
      <c r="C6" s="140" t="s">
        <v>26</v>
      </c>
      <c r="D6" s="141" t="s">
        <v>27</v>
      </c>
      <c r="E6" s="141" t="s">
        <v>28</v>
      </c>
      <c r="F6" s="141" t="s">
        <v>29</v>
      </c>
      <c r="G6" s="114">
        <v>430781</v>
      </c>
      <c r="H6" s="114" t="s">
        <v>30</v>
      </c>
      <c r="I6" s="141" t="s">
        <v>31</v>
      </c>
      <c r="J6" s="150">
        <f>11.28*2</f>
        <v>22.56</v>
      </c>
      <c r="K6" s="151">
        <v>77.7</v>
      </c>
      <c r="L6" s="150">
        <f aca="true" t="shared" si="0" ref="L6:L69">SUM(M6:Q6)</f>
        <v>3.1</v>
      </c>
      <c r="M6" s="150">
        <v>2.8</v>
      </c>
      <c r="N6" s="152">
        <v>0</v>
      </c>
      <c r="O6" s="150">
        <v>0.2</v>
      </c>
      <c r="P6" s="153">
        <v>0.1</v>
      </c>
      <c r="Q6" s="152">
        <v>0</v>
      </c>
      <c r="R6" s="157">
        <v>51.7</v>
      </c>
      <c r="S6" s="158">
        <v>10.68</v>
      </c>
      <c r="T6" s="139" t="s">
        <v>32</v>
      </c>
      <c r="U6" s="151">
        <v>0</v>
      </c>
      <c r="V6" s="150">
        <v>0</v>
      </c>
    </row>
    <row r="7" spans="1:22" ht="15.75" customHeight="1">
      <c r="A7" s="113">
        <f aca="true" t="shared" si="1" ref="A7:A13">A6+1</f>
        <v>2</v>
      </c>
      <c r="B7" s="139" t="s">
        <v>33</v>
      </c>
      <c r="C7" s="140" t="s">
        <v>34</v>
      </c>
      <c r="D7" s="141" t="s">
        <v>27</v>
      </c>
      <c r="E7" s="141" t="s">
        <v>28</v>
      </c>
      <c r="F7" s="141" t="s">
        <v>35</v>
      </c>
      <c r="G7" s="114">
        <v>430781</v>
      </c>
      <c r="H7" s="114" t="s">
        <v>30</v>
      </c>
      <c r="I7" s="141" t="s">
        <v>36</v>
      </c>
      <c r="J7" s="150">
        <f>12.9*2</f>
        <v>25.8</v>
      </c>
      <c r="K7" s="151">
        <v>79.1</v>
      </c>
      <c r="L7" s="150">
        <f t="shared" si="0"/>
        <v>2.1</v>
      </c>
      <c r="M7" s="150">
        <v>1.5</v>
      </c>
      <c r="N7" s="152">
        <v>0</v>
      </c>
      <c r="O7" s="150">
        <v>0.5</v>
      </c>
      <c r="P7" s="153">
        <v>0.1</v>
      </c>
      <c r="Q7" s="152">
        <v>0</v>
      </c>
      <c r="R7" s="157">
        <v>50.6</v>
      </c>
      <c r="S7" s="158">
        <v>9.99</v>
      </c>
      <c r="T7" s="139" t="s">
        <v>32</v>
      </c>
      <c r="U7" s="151">
        <v>0</v>
      </c>
      <c r="V7" s="150">
        <v>0.1</v>
      </c>
    </row>
    <row r="8" spans="1:22" ht="15.75" customHeight="1">
      <c r="A8" s="113">
        <f t="shared" si="1"/>
        <v>3</v>
      </c>
      <c r="B8" s="139" t="s">
        <v>37</v>
      </c>
      <c r="C8" s="140" t="s">
        <v>38</v>
      </c>
      <c r="D8" s="141" t="s">
        <v>27</v>
      </c>
      <c r="E8" s="141" t="s">
        <v>28</v>
      </c>
      <c r="F8" s="141" t="s">
        <v>39</v>
      </c>
      <c r="G8" s="114">
        <v>430724</v>
      </c>
      <c r="H8" s="114" t="s">
        <v>30</v>
      </c>
      <c r="I8" s="141" t="s">
        <v>40</v>
      </c>
      <c r="J8" s="150">
        <f>11.52*2</f>
        <v>23.04</v>
      </c>
      <c r="K8" s="151">
        <v>79</v>
      </c>
      <c r="L8" s="150">
        <f t="shared" si="0"/>
        <v>2.1999999999999997</v>
      </c>
      <c r="M8" s="150">
        <v>1.5</v>
      </c>
      <c r="N8" s="152">
        <v>0</v>
      </c>
      <c r="O8" s="150">
        <v>0.4</v>
      </c>
      <c r="P8" s="153">
        <v>0.3</v>
      </c>
      <c r="Q8" s="152">
        <v>0</v>
      </c>
      <c r="R8" s="157">
        <v>60.5</v>
      </c>
      <c r="S8" s="158">
        <v>10.3</v>
      </c>
      <c r="T8" s="139" t="s">
        <v>32</v>
      </c>
      <c r="U8" s="151">
        <v>0</v>
      </c>
      <c r="V8" s="150">
        <v>0.1</v>
      </c>
    </row>
    <row r="9" spans="1:22" ht="15.75" customHeight="1">
      <c r="A9" s="113">
        <f t="shared" si="1"/>
        <v>4</v>
      </c>
      <c r="B9" s="139" t="s">
        <v>41</v>
      </c>
      <c r="C9" s="140" t="s">
        <v>42</v>
      </c>
      <c r="D9" s="141" t="s">
        <v>27</v>
      </c>
      <c r="E9" s="141" t="s">
        <v>28</v>
      </c>
      <c r="F9" s="141" t="s">
        <v>43</v>
      </c>
      <c r="G9" s="114">
        <v>430724</v>
      </c>
      <c r="H9" s="114" t="s">
        <v>30</v>
      </c>
      <c r="I9" s="141" t="s">
        <v>40</v>
      </c>
      <c r="J9" s="150">
        <f>11.38*2</f>
        <v>22.76</v>
      </c>
      <c r="K9" s="151">
        <v>77.9</v>
      </c>
      <c r="L9" s="150">
        <f t="shared" si="0"/>
        <v>3</v>
      </c>
      <c r="M9" s="150">
        <v>2</v>
      </c>
      <c r="N9" s="152">
        <v>0</v>
      </c>
      <c r="O9" s="150">
        <v>1</v>
      </c>
      <c r="P9" s="153">
        <v>0</v>
      </c>
      <c r="Q9" s="152">
        <v>0</v>
      </c>
      <c r="R9" s="157">
        <v>64.1</v>
      </c>
      <c r="S9" s="158">
        <v>9.84</v>
      </c>
      <c r="T9" s="139" t="s">
        <v>32</v>
      </c>
      <c r="U9" s="151">
        <v>0</v>
      </c>
      <c r="V9" s="150">
        <v>0.1</v>
      </c>
    </row>
    <row r="10" spans="1:22" ht="15.75" customHeight="1">
      <c r="A10" s="113">
        <f t="shared" si="1"/>
        <v>5</v>
      </c>
      <c r="B10" s="139" t="s">
        <v>44</v>
      </c>
      <c r="C10" s="140" t="s">
        <v>45</v>
      </c>
      <c r="D10" s="141" t="s">
        <v>27</v>
      </c>
      <c r="E10" s="141" t="s">
        <v>28</v>
      </c>
      <c r="F10" s="141" t="s">
        <v>46</v>
      </c>
      <c r="G10" s="114">
        <v>430724</v>
      </c>
      <c r="H10" s="114" t="s">
        <v>30</v>
      </c>
      <c r="I10" s="141" t="s">
        <v>40</v>
      </c>
      <c r="J10" s="150">
        <f>10.97*2</f>
        <v>21.94</v>
      </c>
      <c r="K10" s="151">
        <v>78.7</v>
      </c>
      <c r="L10" s="150">
        <f t="shared" si="0"/>
        <v>3.6</v>
      </c>
      <c r="M10" s="150">
        <v>2</v>
      </c>
      <c r="N10" s="152">
        <v>0</v>
      </c>
      <c r="O10" s="150">
        <v>1.5</v>
      </c>
      <c r="P10" s="153">
        <v>0.1</v>
      </c>
      <c r="Q10" s="152">
        <v>0</v>
      </c>
      <c r="R10" s="157">
        <v>61.3</v>
      </c>
      <c r="S10" s="158">
        <v>10.04</v>
      </c>
      <c r="T10" s="139" t="s">
        <v>32</v>
      </c>
      <c r="U10" s="151">
        <v>0</v>
      </c>
      <c r="V10" s="150">
        <v>0.1</v>
      </c>
    </row>
    <row r="11" spans="1:22" ht="15.75" customHeight="1">
      <c r="A11" s="113">
        <f t="shared" si="1"/>
        <v>6</v>
      </c>
      <c r="B11" s="139" t="s">
        <v>47</v>
      </c>
      <c r="C11" s="140" t="s">
        <v>48</v>
      </c>
      <c r="D11" s="141" t="s">
        <v>27</v>
      </c>
      <c r="E11" s="141" t="s">
        <v>28</v>
      </c>
      <c r="F11" s="141" t="s">
        <v>49</v>
      </c>
      <c r="G11" s="114">
        <v>430724</v>
      </c>
      <c r="H11" s="114" t="s">
        <v>30</v>
      </c>
      <c r="I11" s="141" t="s">
        <v>40</v>
      </c>
      <c r="J11" s="150">
        <f>11.29*2</f>
        <v>22.58</v>
      </c>
      <c r="K11" s="151">
        <v>78.2</v>
      </c>
      <c r="L11" s="150">
        <f t="shared" si="0"/>
        <v>2.3</v>
      </c>
      <c r="M11" s="150">
        <v>1.9</v>
      </c>
      <c r="N11" s="152">
        <v>0</v>
      </c>
      <c r="O11" s="150">
        <v>0.3</v>
      </c>
      <c r="P11" s="153">
        <v>0.1</v>
      </c>
      <c r="Q11" s="152">
        <v>0</v>
      </c>
      <c r="R11" s="157">
        <v>62.6</v>
      </c>
      <c r="S11" s="158">
        <v>10.27</v>
      </c>
      <c r="T11" s="139" t="s">
        <v>32</v>
      </c>
      <c r="U11" s="151">
        <v>0</v>
      </c>
      <c r="V11" s="150">
        <v>0</v>
      </c>
    </row>
    <row r="12" spans="1:22" ht="15.75" customHeight="1">
      <c r="A12" s="113">
        <f t="shared" si="1"/>
        <v>7</v>
      </c>
      <c r="B12" s="139" t="s">
        <v>50</v>
      </c>
      <c r="C12" s="140" t="s">
        <v>51</v>
      </c>
      <c r="D12" s="141" t="s">
        <v>27</v>
      </c>
      <c r="E12" s="141" t="s">
        <v>28</v>
      </c>
      <c r="F12" s="141" t="s">
        <v>52</v>
      </c>
      <c r="G12" s="114">
        <v>430723</v>
      </c>
      <c r="H12" s="114" t="s">
        <v>30</v>
      </c>
      <c r="I12" s="141" t="s">
        <v>53</v>
      </c>
      <c r="J12" s="150">
        <f>11.31*2</f>
        <v>22.62</v>
      </c>
      <c r="K12" s="151">
        <v>78.8</v>
      </c>
      <c r="L12" s="150">
        <f t="shared" si="0"/>
        <v>3.3000000000000003</v>
      </c>
      <c r="M12" s="150">
        <v>2.4</v>
      </c>
      <c r="N12" s="152">
        <v>0</v>
      </c>
      <c r="O12" s="150">
        <v>0.8</v>
      </c>
      <c r="P12" s="153">
        <v>0.1</v>
      </c>
      <c r="Q12" s="152">
        <v>0</v>
      </c>
      <c r="R12" s="157">
        <v>45.8</v>
      </c>
      <c r="S12" s="158">
        <v>9.53</v>
      </c>
      <c r="T12" s="139" t="s">
        <v>32</v>
      </c>
      <c r="U12" s="151">
        <v>0</v>
      </c>
      <c r="V12" s="150">
        <v>1.2</v>
      </c>
    </row>
    <row r="13" spans="1:22" ht="15.75" customHeight="1">
      <c r="A13" s="113">
        <f t="shared" si="1"/>
        <v>8</v>
      </c>
      <c r="B13" s="139" t="s">
        <v>54</v>
      </c>
      <c r="C13" s="140" t="s">
        <v>55</v>
      </c>
      <c r="D13" s="141" t="s">
        <v>27</v>
      </c>
      <c r="E13" s="141" t="s">
        <v>28</v>
      </c>
      <c r="F13" s="141" t="s">
        <v>56</v>
      </c>
      <c r="G13" s="114">
        <v>430723</v>
      </c>
      <c r="H13" s="114" t="s">
        <v>30</v>
      </c>
      <c r="I13" s="141" t="s">
        <v>57</v>
      </c>
      <c r="J13" s="150">
        <f>11.1*2</f>
        <v>22.2</v>
      </c>
      <c r="K13" s="151">
        <v>77.7</v>
      </c>
      <c r="L13" s="150">
        <f t="shared" si="0"/>
        <v>2.4</v>
      </c>
      <c r="M13" s="150">
        <v>1.5</v>
      </c>
      <c r="N13" s="152">
        <v>0</v>
      </c>
      <c r="O13" s="150">
        <v>0.6</v>
      </c>
      <c r="P13" s="153">
        <v>0.3</v>
      </c>
      <c r="Q13" s="152">
        <v>0</v>
      </c>
      <c r="R13" s="157">
        <v>47.8</v>
      </c>
      <c r="S13" s="158">
        <v>9.95</v>
      </c>
      <c r="T13" s="139" t="s">
        <v>32</v>
      </c>
      <c r="U13" s="151">
        <v>0</v>
      </c>
      <c r="V13" s="150">
        <v>1</v>
      </c>
    </row>
    <row r="14" spans="1:22" ht="15.75" customHeight="1">
      <c r="A14" s="113">
        <f aca="true" t="shared" si="2" ref="A14:A45">A13+1</f>
        <v>9</v>
      </c>
      <c r="B14" s="139" t="s">
        <v>58</v>
      </c>
      <c r="C14" s="140" t="s">
        <v>59</v>
      </c>
      <c r="D14" s="141" t="s">
        <v>27</v>
      </c>
      <c r="E14" s="141" t="s">
        <v>28</v>
      </c>
      <c r="F14" s="141" t="s">
        <v>60</v>
      </c>
      <c r="G14" s="114">
        <v>430723</v>
      </c>
      <c r="H14" s="114" t="s">
        <v>30</v>
      </c>
      <c r="I14" s="141" t="s">
        <v>53</v>
      </c>
      <c r="J14" s="150">
        <f>11.23*2</f>
        <v>22.46</v>
      </c>
      <c r="K14" s="151">
        <v>79</v>
      </c>
      <c r="L14" s="150">
        <f t="shared" si="0"/>
        <v>2.5</v>
      </c>
      <c r="M14" s="150">
        <v>1.7</v>
      </c>
      <c r="N14" s="152">
        <v>0</v>
      </c>
      <c r="O14" s="150">
        <v>0.8</v>
      </c>
      <c r="P14" s="153">
        <v>0</v>
      </c>
      <c r="Q14" s="152">
        <v>0</v>
      </c>
      <c r="R14" s="157">
        <v>41.2</v>
      </c>
      <c r="S14" s="158">
        <v>9.91</v>
      </c>
      <c r="T14" s="139" t="s">
        <v>32</v>
      </c>
      <c r="U14" s="151">
        <v>0</v>
      </c>
      <c r="V14" s="150">
        <v>0.6</v>
      </c>
    </row>
    <row r="15" spans="1:22" ht="15.75" customHeight="1">
      <c r="A15" s="113">
        <f t="shared" si="2"/>
        <v>10</v>
      </c>
      <c r="B15" s="139" t="s">
        <v>61</v>
      </c>
      <c r="C15" s="140" t="s">
        <v>62</v>
      </c>
      <c r="D15" s="141" t="s">
        <v>27</v>
      </c>
      <c r="E15" s="141" t="s">
        <v>28</v>
      </c>
      <c r="F15" s="141" t="s">
        <v>63</v>
      </c>
      <c r="G15" s="114">
        <v>430721</v>
      </c>
      <c r="H15" s="114" t="s">
        <v>30</v>
      </c>
      <c r="I15" s="141" t="s">
        <v>64</v>
      </c>
      <c r="J15" s="150">
        <f>11.14*2</f>
        <v>22.28</v>
      </c>
      <c r="K15" s="151">
        <v>78.5</v>
      </c>
      <c r="L15" s="150">
        <f t="shared" si="0"/>
        <v>2</v>
      </c>
      <c r="M15" s="150">
        <v>1.5</v>
      </c>
      <c r="N15" s="152">
        <v>0</v>
      </c>
      <c r="O15" s="150">
        <v>0.4</v>
      </c>
      <c r="P15" s="153">
        <v>0.1</v>
      </c>
      <c r="Q15" s="152">
        <v>0</v>
      </c>
      <c r="R15" s="157">
        <v>56.7</v>
      </c>
      <c r="S15" s="158">
        <v>10.58</v>
      </c>
      <c r="T15" s="139" t="s">
        <v>32</v>
      </c>
      <c r="U15" s="151">
        <v>0</v>
      </c>
      <c r="V15" s="150">
        <v>0.3</v>
      </c>
    </row>
    <row r="16" spans="1:22" ht="15.75" customHeight="1">
      <c r="A16" s="113">
        <f t="shared" si="2"/>
        <v>11</v>
      </c>
      <c r="B16" s="139" t="s">
        <v>65</v>
      </c>
      <c r="C16" s="140" t="s">
        <v>66</v>
      </c>
      <c r="D16" s="141" t="s">
        <v>27</v>
      </c>
      <c r="E16" s="141" t="s">
        <v>28</v>
      </c>
      <c r="F16" s="141" t="s">
        <v>67</v>
      </c>
      <c r="G16" s="114">
        <v>430721</v>
      </c>
      <c r="H16" s="114" t="s">
        <v>30</v>
      </c>
      <c r="I16" s="141" t="s">
        <v>64</v>
      </c>
      <c r="J16" s="150">
        <f>12.65*2</f>
        <v>25.3</v>
      </c>
      <c r="K16" s="151">
        <v>78.1</v>
      </c>
      <c r="L16" s="150">
        <f t="shared" si="0"/>
        <v>3.4000000000000004</v>
      </c>
      <c r="M16" s="150">
        <v>1.5</v>
      </c>
      <c r="N16" s="152">
        <v>0</v>
      </c>
      <c r="O16" s="150">
        <v>1.2</v>
      </c>
      <c r="P16" s="153">
        <v>0.7</v>
      </c>
      <c r="Q16" s="152">
        <v>0</v>
      </c>
      <c r="R16" s="157">
        <v>56.6</v>
      </c>
      <c r="S16" s="158">
        <v>10.63</v>
      </c>
      <c r="T16" s="139" t="s">
        <v>32</v>
      </c>
      <c r="U16" s="151">
        <v>0</v>
      </c>
      <c r="V16" s="150">
        <v>0.4</v>
      </c>
    </row>
    <row r="17" spans="1:22" ht="15.75" customHeight="1">
      <c r="A17" s="113">
        <f t="shared" si="2"/>
        <v>12</v>
      </c>
      <c r="B17" s="139" t="s">
        <v>68</v>
      </c>
      <c r="C17" s="140" t="s">
        <v>69</v>
      </c>
      <c r="D17" s="141" t="s">
        <v>27</v>
      </c>
      <c r="E17" s="141" t="s">
        <v>28</v>
      </c>
      <c r="F17" s="141" t="s">
        <v>70</v>
      </c>
      <c r="G17" s="114">
        <v>430721</v>
      </c>
      <c r="H17" s="114" t="s">
        <v>30</v>
      </c>
      <c r="I17" s="141" t="s">
        <v>64</v>
      </c>
      <c r="J17" s="150">
        <f>11.29*2</f>
        <v>22.58</v>
      </c>
      <c r="K17" s="151">
        <v>78.7</v>
      </c>
      <c r="L17" s="150">
        <f t="shared" si="0"/>
        <v>1.5</v>
      </c>
      <c r="M17" s="150">
        <v>1.3</v>
      </c>
      <c r="N17" s="152">
        <v>0</v>
      </c>
      <c r="O17" s="150">
        <v>0.2</v>
      </c>
      <c r="P17" s="153">
        <v>0</v>
      </c>
      <c r="Q17" s="152">
        <v>0</v>
      </c>
      <c r="R17" s="157">
        <v>49.2</v>
      </c>
      <c r="S17" s="158">
        <v>10.54</v>
      </c>
      <c r="T17" s="139" t="s">
        <v>32</v>
      </c>
      <c r="U17" s="151">
        <v>0</v>
      </c>
      <c r="V17" s="150">
        <v>0.1</v>
      </c>
    </row>
    <row r="18" spans="1:22" ht="15.75" customHeight="1">
      <c r="A18" s="113">
        <f t="shared" si="2"/>
        <v>13</v>
      </c>
      <c r="B18" s="139" t="s">
        <v>71</v>
      </c>
      <c r="C18" s="140" t="s">
        <v>72</v>
      </c>
      <c r="D18" s="141" t="s">
        <v>27</v>
      </c>
      <c r="E18" s="141" t="s">
        <v>28</v>
      </c>
      <c r="F18" s="141" t="s">
        <v>73</v>
      </c>
      <c r="G18" s="114">
        <v>430721</v>
      </c>
      <c r="H18" s="114" t="s">
        <v>30</v>
      </c>
      <c r="I18" s="141" t="s">
        <v>64</v>
      </c>
      <c r="J18" s="150">
        <f>11.24*2</f>
        <v>22.48</v>
      </c>
      <c r="K18" s="151">
        <v>78.8</v>
      </c>
      <c r="L18" s="150">
        <f t="shared" si="0"/>
        <v>1.4000000000000001</v>
      </c>
      <c r="M18" s="150">
        <v>1.3</v>
      </c>
      <c r="N18" s="152">
        <v>0</v>
      </c>
      <c r="O18" s="150">
        <v>0.1</v>
      </c>
      <c r="P18" s="153">
        <v>0</v>
      </c>
      <c r="Q18" s="152">
        <v>0</v>
      </c>
      <c r="R18" s="157">
        <v>51.6</v>
      </c>
      <c r="S18" s="158">
        <v>10.55</v>
      </c>
      <c r="T18" s="139" t="s">
        <v>32</v>
      </c>
      <c r="U18" s="151">
        <v>0</v>
      </c>
      <c r="V18" s="150">
        <v>0.2</v>
      </c>
    </row>
    <row r="19" spans="1:22" ht="15.75" customHeight="1">
      <c r="A19" s="113">
        <f t="shared" si="2"/>
        <v>14</v>
      </c>
      <c r="B19" s="139" t="s">
        <v>74</v>
      </c>
      <c r="C19" s="140" t="s">
        <v>75</v>
      </c>
      <c r="D19" s="141" t="s">
        <v>27</v>
      </c>
      <c r="E19" s="141" t="s">
        <v>28</v>
      </c>
      <c r="F19" s="141" t="s">
        <v>76</v>
      </c>
      <c r="G19" s="114">
        <v>430721</v>
      </c>
      <c r="H19" s="114" t="s">
        <v>30</v>
      </c>
      <c r="I19" s="141" t="s">
        <v>77</v>
      </c>
      <c r="J19" s="150">
        <f>10.9*2</f>
        <v>21.8</v>
      </c>
      <c r="K19" s="151">
        <v>79.7</v>
      </c>
      <c r="L19" s="150">
        <f t="shared" si="0"/>
        <v>0.5</v>
      </c>
      <c r="M19" s="150">
        <v>0.3</v>
      </c>
      <c r="N19" s="152">
        <v>0</v>
      </c>
      <c r="O19" s="150">
        <v>0.2</v>
      </c>
      <c r="P19" s="153">
        <v>0</v>
      </c>
      <c r="Q19" s="152">
        <v>0</v>
      </c>
      <c r="R19" s="157">
        <v>58.5</v>
      </c>
      <c r="S19" s="158">
        <v>11.42</v>
      </c>
      <c r="T19" s="139" t="s">
        <v>32</v>
      </c>
      <c r="U19" s="151">
        <v>0</v>
      </c>
      <c r="V19" s="150">
        <v>0</v>
      </c>
    </row>
    <row r="20" spans="1:22" ht="15.75" customHeight="1">
      <c r="A20" s="113">
        <f t="shared" si="2"/>
        <v>15</v>
      </c>
      <c r="B20" s="139" t="s">
        <v>78</v>
      </c>
      <c r="C20" s="140" t="s">
        <v>79</v>
      </c>
      <c r="D20" s="141" t="s">
        <v>27</v>
      </c>
      <c r="E20" s="141" t="s">
        <v>28</v>
      </c>
      <c r="F20" s="141" t="s">
        <v>80</v>
      </c>
      <c r="G20" s="114">
        <v>430721</v>
      </c>
      <c r="H20" s="114" t="s">
        <v>30</v>
      </c>
      <c r="I20" s="141" t="s">
        <v>64</v>
      </c>
      <c r="J20" s="150">
        <f>11.71*2</f>
        <v>23.42</v>
      </c>
      <c r="K20" s="151">
        <v>76.3</v>
      </c>
      <c r="L20" s="150">
        <f t="shared" si="0"/>
        <v>3.4</v>
      </c>
      <c r="M20" s="150">
        <v>2.9</v>
      </c>
      <c r="N20" s="152">
        <v>0</v>
      </c>
      <c r="O20" s="150">
        <v>0.5</v>
      </c>
      <c r="P20" s="153">
        <v>0</v>
      </c>
      <c r="Q20" s="152">
        <v>0</v>
      </c>
      <c r="R20" s="157">
        <v>40.5</v>
      </c>
      <c r="S20" s="158">
        <v>9.22</v>
      </c>
      <c r="T20" s="139" t="s">
        <v>32</v>
      </c>
      <c r="U20" s="151">
        <v>0</v>
      </c>
      <c r="V20" s="150">
        <v>0.1</v>
      </c>
    </row>
    <row r="21" spans="1:22" ht="15.75" customHeight="1">
      <c r="A21" s="113">
        <f t="shared" si="2"/>
        <v>16</v>
      </c>
      <c r="B21" s="139" t="s">
        <v>81</v>
      </c>
      <c r="C21" s="140" t="s">
        <v>82</v>
      </c>
      <c r="D21" s="141" t="s">
        <v>27</v>
      </c>
      <c r="E21" s="141" t="s">
        <v>28</v>
      </c>
      <c r="F21" s="141" t="s">
        <v>83</v>
      </c>
      <c r="G21" s="114">
        <v>430721</v>
      </c>
      <c r="H21" s="114" t="s">
        <v>30</v>
      </c>
      <c r="I21" s="141" t="s">
        <v>64</v>
      </c>
      <c r="J21" s="150">
        <f>11.14*2</f>
        <v>22.28</v>
      </c>
      <c r="K21" s="151">
        <v>79.4</v>
      </c>
      <c r="L21" s="150">
        <f t="shared" si="0"/>
        <v>0.8</v>
      </c>
      <c r="M21" s="150">
        <v>0.2</v>
      </c>
      <c r="N21" s="152">
        <v>0</v>
      </c>
      <c r="O21" s="150">
        <v>0.6</v>
      </c>
      <c r="P21" s="153">
        <v>0</v>
      </c>
      <c r="Q21" s="152">
        <v>0</v>
      </c>
      <c r="R21" s="157">
        <v>57.8</v>
      </c>
      <c r="S21" s="158">
        <v>10.37</v>
      </c>
      <c r="T21" s="139" t="s">
        <v>32</v>
      </c>
      <c r="U21" s="151">
        <v>0</v>
      </c>
      <c r="V21" s="150">
        <v>0.1</v>
      </c>
    </row>
    <row r="22" spans="1:22" ht="15.75" customHeight="1">
      <c r="A22" s="113">
        <f t="shared" si="2"/>
        <v>17</v>
      </c>
      <c r="B22" s="139" t="s">
        <v>84</v>
      </c>
      <c r="C22" s="140" t="s">
        <v>85</v>
      </c>
      <c r="D22" s="141" t="s">
        <v>27</v>
      </c>
      <c r="E22" s="141" t="s">
        <v>28</v>
      </c>
      <c r="F22" s="141" t="s">
        <v>86</v>
      </c>
      <c r="G22" s="114">
        <v>430721</v>
      </c>
      <c r="H22" s="114" t="s">
        <v>30</v>
      </c>
      <c r="I22" s="141" t="s">
        <v>64</v>
      </c>
      <c r="J22" s="150">
        <f>11.98*2</f>
        <v>23.96</v>
      </c>
      <c r="K22" s="151">
        <v>75.1</v>
      </c>
      <c r="L22" s="150">
        <f t="shared" si="0"/>
        <v>4.3999999999999995</v>
      </c>
      <c r="M22" s="150">
        <v>3.8</v>
      </c>
      <c r="N22" s="152">
        <v>0</v>
      </c>
      <c r="O22" s="150">
        <v>0.6</v>
      </c>
      <c r="P22" s="153">
        <v>0</v>
      </c>
      <c r="Q22" s="152">
        <v>0</v>
      </c>
      <c r="R22" s="157">
        <v>41.6</v>
      </c>
      <c r="S22" s="158">
        <v>9.45</v>
      </c>
      <c r="T22" s="139" t="s">
        <v>32</v>
      </c>
      <c r="U22" s="151">
        <v>0</v>
      </c>
      <c r="V22" s="150">
        <v>0.2</v>
      </c>
    </row>
    <row r="23" spans="1:22" ht="15.75" customHeight="1">
      <c r="A23" s="113">
        <f t="shared" si="2"/>
        <v>18</v>
      </c>
      <c r="B23" s="139" t="s">
        <v>87</v>
      </c>
      <c r="C23" s="140" t="s">
        <v>88</v>
      </c>
      <c r="D23" s="141" t="s">
        <v>27</v>
      </c>
      <c r="E23" s="141" t="s">
        <v>28</v>
      </c>
      <c r="F23" s="141" t="s">
        <v>89</v>
      </c>
      <c r="G23" s="114">
        <v>430721</v>
      </c>
      <c r="H23" s="114" t="s">
        <v>30</v>
      </c>
      <c r="I23" s="141" t="s">
        <v>64</v>
      </c>
      <c r="J23" s="150">
        <f>10.72*2</f>
        <v>21.44</v>
      </c>
      <c r="K23" s="151">
        <v>76.7</v>
      </c>
      <c r="L23" s="150">
        <f t="shared" si="0"/>
        <v>3.9</v>
      </c>
      <c r="M23" s="150">
        <v>3.3</v>
      </c>
      <c r="N23" s="152">
        <v>0</v>
      </c>
      <c r="O23" s="150">
        <v>0.6</v>
      </c>
      <c r="P23" s="153">
        <v>0</v>
      </c>
      <c r="Q23" s="152">
        <v>0</v>
      </c>
      <c r="R23" s="157">
        <v>56.3</v>
      </c>
      <c r="S23" s="158">
        <v>12.72</v>
      </c>
      <c r="T23" s="139" t="s">
        <v>32</v>
      </c>
      <c r="U23" s="151">
        <v>0</v>
      </c>
      <c r="V23" s="150">
        <v>0.3</v>
      </c>
    </row>
    <row r="24" spans="1:22" ht="15.75" customHeight="1">
      <c r="A24" s="113">
        <f t="shared" si="2"/>
        <v>19</v>
      </c>
      <c r="B24" s="139" t="s">
        <v>90</v>
      </c>
      <c r="C24" s="140" t="s">
        <v>91</v>
      </c>
      <c r="D24" s="141" t="s">
        <v>27</v>
      </c>
      <c r="E24" s="141" t="s">
        <v>28</v>
      </c>
      <c r="F24" s="141" t="s">
        <v>92</v>
      </c>
      <c r="G24" s="114">
        <v>430721</v>
      </c>
      <c r="H24" s="114" t="s">
        <v>30</v>
      </c>
      <c r="I24" s="141" t="s">
        <v>64</v>
      </c>
      <c r="J24" s="150">
        <f>11.43*2</f>
        <v>22.86</v>
      </c>
      <c r="K24" s="151">
        <v>79.5</v>
      </c>
      <c r="L24" s="150">
        <f t="shared" si="0"/>
        <v>1.6</v>
      </c>
      <c r="M24" s="150">
        <v>1</v>
      </c>
      <c r="N24" s="152">
        <v>0</v>
      </c>
      <c r="O24" s="150">
        <v>0.5</v>
      </c>
      <c r="P24" s="153">
        <v>0.1</v>
      </c>
      <c r="Q24" s="152">
        <v>0</v>
      </c>
      <c r="R24" s="157">
        <v>54.7</v>
      </c>
      <c r="S24" s="158">
        <v>11.07</v>
      </c>
      <c r="T24" s="139" t="s">
        <v>32</v>
      </c>
      <c r="U24" s="151">
        <v>0</v>
      </c>
      <c r="V24" s="150">
        <v>1.3</v>
      </c>
    </row>
    <row r="25" spans="1:22" ht="15.75" customHeight="1">
      <c r="A25" s="113">
        <f t="shared" si="2"/>
        <v>20</v>
      </c>
      <c r="B25" s="139" t="s">
        <v>93</v>
      </c>
      <c r="C25" s="140" t="s">
        <v>94</v>
      </c>
      <c r="D25" s="141" t="s">
        <v>27</v>
      </c>
      <c r="E25" s="141" t="s">
        <v>28</v>
      </c>
      <c r="F25" s="141" t="s">
        <v>63</v>
      </c>
      <c r="G25" s="114">
        <v>430721</v>
      </c>
      <c r="H25" s="114" t="s">
        <v>30</v>
      </c>
      <c r="I25" s="141" t="s">
        <v>95</v>
      </c>
      <c r="J25" s="150">
        <f>14.4*2</f>
        <v>28.8</v>
      </c>
      <c r="K25" s="151">
        <v>79.8</v>
      </c>
      <c r="L25" s="150">
        <f t="shared" si="0"/>
        <v>1.9</v>
      </c>
      <c r="M25" s="150">
        <v>1.4</v>
      </c>
      <c r="N25" s="152">
        <v>0</v>
      </c>
      <c r="O25" s="150">
        <v>0.2</v>
      </c>
      <c r="P25" s="153">
        <v>0.3</v>
      </c>
      <c r="Q25" s="152">
        <v>0</v>
      </c>
      <c r="R25" s="157">
        <v>59.7</v>
      </c>
      <c r="S25" s="158">
        <v>12.16</v>
      </c>
      <c r="T25" s="139" t="s">
        <v>32</v>
      </c>
      <c r="U25" s="151">
        <v>0</v>
      </c>
      <c r="V25" s="150">
        <v>0.2</v>
      </c>
    </row>
    <row r="26" spans="1:22" ht="15.75" customHeight="1">
      <c r="A26" s="113">
        <f t="shared" si="2"/>
        <v>21</v>
      </c>
      <c r="B26" s="139" t="s">
        <v>96</v>
      </c>
      <c r="C26" s="140" t="s">
        <v>97</v>
      </c>
      <c r="D26" s="141" t="s">
        <v>27</v>
      </c>
      <c r="E26" s="141" t="s">
        <v>28</v>
      </c>
      <c r="F26" s="141" t="s">
        <v>98</v>
      </c>
      <c r="G26" s="114">
        <v>430721</v>
      </c>
      <c r="H26" s="114" t="s">
        <v>30</v>
      </c>
      <c r="I26" s="141" t="s">
        <v>64</v>
      </c>
      <c r="J26" s="150">
        <f>12.39*2</f>
        <v>24.78</v>
      </c>
      <c r="K26" s="151">
        <v>77.2</v>
      </c>
      <c r="L26" s="150">
        <f t="shared" si="0"/>
        <v>5.500000000000001</v>
      </c>
      <c r="M26" s="150">
        <v>4.2</v>
      </c>
      <c r="N26" s="152">
        <v>0</v>
      </c>
      <c r="O26" s="150">
        <v>1.1</v>
      </c>
      <c r="P26" s="153">
        <v>0.2</v>
      </c>
      <c r="Q26" s="152">
        <v>0</v>
      </c>
      <c r="R26" s="157">
        <v>53.4</v>
      </c>
      <c r="S26" s="158">
        <v>10.76</v>
      </c>
      <c r="T26" s="139" t="s">
        <v>32</v>
      </c>
      <c r="U26" s="151">
        <v>0</v>
      </c>
      <c r="V26" s="150">
        <v>0.2</v>
      </c>
    </row>
    <row r="27" spans="1:22" ht="15.75" customHeight="1">
      <c r="A27" s="113">
        <f t="shared" si="2"/>
        <v>22</v>
      </c>
      <c r="B27" s="139" t="s">
        <v>99</v>
      </c>
      <c r="C27" s="140" t="s">
        <v>100</v>
      </c>
      <c r="D27" s="141" t="s">
        <v>27</v>
      </c>
      <c r="E27" s="141" t="s">
        <v>28</v>
      </c>
      <c r="F27" s="141" t="s">
        <v>101</v>
      </c>
      <c r="G27" s="114">
        <v>430725</v>
      </c>
      <c r="H27" s="114" t="s">
        <v>30</v>
      </c>
      <c r="I27" s="141" t="s">
        <v>102</v>
      </c>
      <c r="J27" s="150">
        <f>12.8*2</f>
        <v>25.6</v>
      </c>
      <c r="K27" s="151">
        <v>77</v>
      </c>
      <c r="L27" s="150">
        <f t="shared" si="0"/>
        <v>5.5</v>
      </c>
      <c r="M27" s="150">
        <v>3.1</v>
      </c>
      <c r="N27" s="152">
        <v>0</v>
      </c>
      <c r="O27" s="150">
        <v>2.1</v>
      </c>
      <c r="P27" s="153">
        <v>0.3</v>
      </c>
      <c r="Q27" s="152">
        <v>0</v>
      </c>
      <c r="R27" s="157">
        <v>49.1</v>
      </c>
      <c r="S27" s="158">
        <v>12.55</v>
      </c>
      <c r="T27" s="139" t="s">
        <v>32</v>
      </c>
      <c r="U27" s="151">
        <v>0</v>
      </c>
      <c r="V27" s="150">
        <v>1.6</v>
      </c>
    </row>
    <row r="28" spans="1:22" ht="15.75" customHeight="1">
      <c r="A28" s="113">
        <f t="shared" si="2"/>
        <v>23</v>
      </c>
      <c r="B28" s="139" t="s">
        <v>103</v>
      </c>
      <c r="C28" s="140" t="s">
        <v>104</v>
      </c>
      <c r="D28" s="141" t="s">
        <v>27</v>
      </c>
      <c r="E28" s="141" t="s">
        <v>28</v>
      </c>
      <c r="F28" s="141" t="s">
        <v>105</v>
      </c>
      <c r="G28" s="114">
        <v>430725</v>
      </c>
      <c r="H28" s="114" t="s">
        <v>30</v>
      </c>
      <c r="I28" s="141" t="s">
        <v>106</v>
      </c>
      <c r="J28" s="150">
        <f>11.52*2</f>
        <v>23.04</v>
      </c>
      <c r="K28" s="151">
        <v>77.2</v>
      </c>
      <c r="L28" s="150">
        <f t="shared" si="0"/>
        <v>4.5</v>
      </c>
      <c r="M28" s="150">
        <v>1.1</v>
      </c>
      <c r="N28" s="152">
        <v>0</v>
      </c>
      <c r="O28" s="150">
        <v>3.1</v>
      </c>
      <c r="P28" s="153">
        <v>0.3</v>
      </c>
      <c r="Q28" s="152">
        <v>0</v>
      </c>
      <c r="R28" s="157">
        <v>59.9</v>
      </c>
      <c r="S28" s="158">
        <v>11.87</v>
      </c>
      <c r="T28" s="139" t="s">
        <v>32</v>
      </c>
      <c r="U28" s="151">
        <v>0</v>
      </c>
      <c r="V28" s="150">
        <v>0</v>
      </c>
    </row>
    <row r="29" spans="1:22" ht="15.75" customHeight="1">
      <c r="A29" s="113">
        <f t="shared" si="2"/>
        <v>24</v>
      </c>
      <c r="B29" s="139" t="s">
        <v>107</v>
      </c>
      <c r="C29" s="140" t="s">
        <v>108</v>
      </c>
      <c r="D29" s="141" t="s">
        <v>27</v>
      </c>
      <c r="E29" s="141" t="s">
        <v>28</v>
      </c>
      <c r="F29" s="141" t="s">
        <v>109</v>
      </c>
      <c r="G29" s="114">
        <v>430725</v>
      </c>
      <c r="H29" s="114" t="s">
        <v>30</v>
      </c>
      <c r="I29" s="141" t="s">
        <v>40</v>
      </c>
      <c r="J29" s="150">
        <f>12.26*2</f>
        <v>24.52</v>
      </c>
      <c r="K29" s="151">
        <v>78</v>
      </c>
      <c r="L29" s="150">
        <f t="shared" si="0"/>
        <v>4</v>
      </c>
      <c r="M29" s="150">
        <v>2.9</v>
      </c>
      <c r="N29" s="152">
        <v>0</v>
      </c>
      <c r="O29" s="150">
        <v>1.1</v>
      </c>
      <c r="P29" s="153">
        <v>0</v>
      </c>
      <c r="Q29" s="152">
        <v>0</v>
      </c>
      <c r="R29" s="157">
        <v>63</v>
      </c>
      <c r="S29" s="158">
        <v>10</v>
      </c>
      <c r="T29" s="139" t="s">
        <v>32</v>
      </c>
      <c r="U29" s="151">
        <v>0</v>
      </c>
      <c r="V29" s="150">
        <v>0.2</v>
      </c>
    </row>
    <row r="30" spans="1:22" ht="15.75" customHeight="1">
      <c r="A30" s="113">
        <f t="shared" si="2"/>
        <v>25</v>
      </c>
      <c r="B30" s="139" t="s">
        <v>110</v>
      </c>
      <c r="C30" s="140" t="s">
        <v>111</v>
      </c>
      <c r="D30" s="141" t="s">
        <v>27</v>
      </c>
      <c r="E30" s="141" t="s">
        <v>28</v>
      </c>
      <c r="F30" s="141" t="s">
        <v>112</v>
      </c>
      <c r="G30" s="114">
        <v>430725</v>
      </c>
      <c r="H30" s="114" t="s">
        <v>30</v>
      </c>
      <c r="I30" s="141" t="s">
        <v>40</v>
      </c>
      <c r="J30" s="150">
        <f>13.24*2</f>
        <v>26.48</v>
      </c>
      <c r="K30" s="151">
        <v>77.1</v>
      </c>
      <c r="L30" s="150">
        <f t="shared" si="0"/>
        <v>6.2</v>
      </c>
      <c r="M30" s="150">
        <v>2</v>
      </c>
      <c r="N30" s="152">
        <v>0</v>
      </c>
      <c r="O30" s="150">
        <v>4.2</v>
      </c>
      <c r="P30" s="153">
        <v>0</v>
      </c>
      <c r="Q30" s="152">
        <v>0</v>
      </c>
      <c r="R30" s="157">
        <v>51.9</v>
      </c>
      <c r="S30" s="158">
        <v>9.57</v>
      </c>
      <c r="T30" s="139" t="s">
        <v>32</v>
      </c>
      <c r="U30" s="151">
        <v>0</v>
      </c>
      <c r="V30" s="150">
        <v>0.7</v>
      </c>
    </row>
    <row r="31" spans="1:22" ht="15.75" customHeight="1">
      <c r="A31" s="113">
        <f t="shared" si="2"/>
        <v>26</v>
      </c>
      <c r="B31" s="139" t="s">
        <v>113</v>
      </c>
      <c r="C31" s="140" t="s">
        <v>114</v>
      </c>
      <c r="D31" s="141" t="s">
        <v>27</v>
      </c>
      <c r="E31" s="141" t="s">
        <v>28</v>
      </c>
      <c r="F31" s="141" t="s">
        <v>115</v>
      </c>
      <c r="G31" s="114">
        <v>430725</v>
      </c>
      <c r="H31" s="114" t="s">
        <v>30</v>
      </c>
      <c r="I31" s="141" t="s">
        <v>106</v>
      </c>
      <c r="J31" s="150">
        <f>12.48*2</f>
        <v>24.96</v>
      </c>
      <c r="K31" s="151">
        <v>73.9</v>
      </c>
      <c r="L31" s="150">
        <f t="shared" si="0"/>
        <v>7.2</v>
      </c>
      <c r="M31" s="150">
        <v>6.2</v>
      </c>
      <c r="N31" s="152">
        <v>0</v>
      </c>
      <c r="O31" s="150">
        <v>1</v>
      </c>
      <c r="P31" s="153">
        <v>0</v>
      </c>
      <c r="Q31" s="152">
        <v>0</v>
      </c>
      <c r="R31" s="157">
        <v>43.2</v>
      </c>
      <c r="S31" s="158">
        <v>9.86</v>
      </c>
      <c r="T31" s="139" t="s">
        <v>32</v>
      </c>
      <c r="U31" s="151">
        <v>0</v>
      </c>
      <c r="V31" s="150">
        <v>0.2</v>
      </c>
    </row>
    <row r="32" spans="1:22" ht="15.75" customHeight="1">
      <c r="A32" s="113">
        <f t="shared" si="2"/>
        <v>27</v>
      </c>
      <c r="B32" s="139" t="s">
        <v>116</v>
      </c>
      <c r="C32" s="140" t="s">
        <v>117</v>
      </c>
      <c r="D32" s="141" t="s">
        <v>27</v>
      </c>
      <c r="E32" s="141" t="s">
        <v>28</v>
      </c>
      <c r="F32" s="141" t="s">
        <v>118</v>
      </c>
      <c r="G32" s="114">
        <v>430725</v>
      </c>
      <c r="H32" s="114" t="s">
        <v>30</v>
      </c>
      <c r="I32" s="141" t="s">
        <v>119</v>
      </c>
      <c r="J32" s="150">
        <f>13.1*2</f>
        <v>26.2</v>
      </c>
      <c r="K32" s="151">
        <v>78.5</v>
      </c>
      <c r="L32" s="150">
        <f t="shared" si="0"/>
        <v>4.8999999999999995</v>
      </c>
      <c r="M32" s="150">
        <v>2.7</v>
      </c>
      <c r="N32" s="152">
        <v>0</v>
      </c>
      <c r="O32" s="150">
        <v>1.9</v>
      </c>
      <c r="P32" s="153">
        <v>0.3</v>
      </c>
      <c r="Q32" s="152">
        <v>0</v>
      </c>
      <c r="R32" s="157">
        <v>44.8</v>
      </c>
      <c r="S32" s="158">
        <v>12.66</v>
      </c>
      <c r="T32" s="139" t="s">
        <v>32</v>
      </c>
      <c r="U32" s="151">
        <v>0</v>
      </c>
      <c r="V32" s="150">
        <v>1</v>
      </c>
    </row>
    <row r="33" spans="1:22" ht="15.75" customHeight="1">
      <c r="A33" s="113">
        <f t="shared" si="2"/>
        <v>28</v>
      </c>
      <c r="B33" s="139" t="s">
        <v>120</v>
      </c>
      <c r="C33" s="140" t="s">
        <v>121</v>
      </c>
      <c r="D33" s="141" t="s">
        <v>27</v>
      </c>
      <c r="E33" s="141" t="s">
        <v>28</v>
      </c>
      <c r="F33" s="141" t="s">
        <v>122</v>
      </c>
      <c r="G33" s="114">
        <v>430725</v>
      </c>
      <c r="H33" s="114" t="s">
        <v>30</v>
      </c>
      <c r="I33" s="141" t="s">
        <v>123</v>
      </c>
      <c r="J33" s="150">
        <f>13.7*2</f>
        <v>27.4</v>
      </c>
      <c r="K33" s="151">
        <v>76.7</v>
      </c>
      <c r="L33" s="150">
        <f t="shared" si="0"/>
        <v>5.4</v>
      </c>
      <c r="M33" s="150">
        <v>3.6</v>
      </c>
      <c r="N33" s="152">
        <v>0</v>
      </c>
      <c r="O33" s="150">
        <v>1.8</v>
      </c>
      <c r="P33" s="153">
        <v>0</v>
      </c>
      <c r="Q33" s="152">
        <v>0</v>
      </c>
      <c r="R33" s="157">
        <v>55.8</v>
      </c>
      <c r="S33" s="158">
        <v>12.18</v>
      </c>
      <c r="T33" s="139" t="s">
        <v>32</v>
      </c>
      <c r="U33" s="151">
        <v>0</v>
      </c>
      <c r="V33" s="150">
        <v>0.6</v>
      </c>
    </row>
    <row r="34" spans="1:22" ht="15.75" customHeight="1">
      <c r="A34" s="113">
        <f t="shared" si="2"/>
        <v>29</v>
      </c>
      <c r="B34" s="139" t="s">
        <v>124</v>
      </c>
      <c r="C34" s="140" t="s">
        <v>125</v>
      </c>
      <c r="D34" s="141" t="s">
        <v>27</v>
      </c>
      <c r="E34" s="141" t="s">
        <v>28</v>
      </c>
      <c r="F34" s="141" t="s">
        <v>126</v>
      </c>
      <c r="G34" s="114">
        <v>430703</v>
      </c>
      <c r="H34" s="114" t="s">
        <v>127</v>
      </c>
      <c r="I34" s="141" t="s">
        <v>128</v>
      </c>
      <c r="J34" s="150">
        <f>10.18*2</f>
        <v>20.36</v>
      </c>
      <c r="K34" s="151">
        <v>78.7</v>
      </c>
      <c r="L34" s="150">
        <f t="shared" si="0"/>
        <v>2.2</v>
      </c>
      <c r="M34" s="150">
        <v>1.3</v>
      </c>
      <c r="N34" s="152">
        <v>0</v>
      </c>
      <c r="O34" s="150">
        <v>0.9</v>
      </c>
      <c r="P34" s="153">
        <v>0</v>
      </c>
      <c r="Q34" s="152">
        <v>0</v>
      </c>
      <c r="R34" s="157">
        <v>40.9</v>
      </c>
      <c r="S34" s="158">
        <v>9.52</v>
      </c>
      <c r="T34" s="139" t="s">
        <v>32</v>
      </c>
      <c r="U34" s="151">
        <v>0</v>
      </c>
      <c r="V34" s="150">
        <v>1.2</v>
      </c>
    </row>
    <row r="35" spans="1:22" ht="15.75" customHeight="1">
      <c r="A35" s="113">
        <f t="shared" si="2"/>
        <v>30</v>
      </c>
      <c r="B35" s="139" t="s">
        <v>129</v>
      </c>
      <c r="C35" s="140" t="s">
        <v>130</v>
      </c>
      <c r="D35" s="141" t="s">
        <v>27</v>
      </c>
      <c r="E35" s="141" t="s">
        <v>28</v>
      </c>
      <c r="F35" s="141" t="s">
        <v>131</v>
      </c>
      <c r="G35" s="114">
        <v>430703</v>
      </c>
      <c r="H35" s="114" t="s">
        <v>127</v>
      </c>
      <c r="I35" s="141" t="s">
        <v>128</v>
      </c>
      <c r="J35" s="150">
        <f>11.05*2</f>
        <v>22.1</v>
      </c>
      <c r="K35" s="151">
        <v>78</v>
      </c>
      <c r="L35" s="150">
        <f t="shared" si="0"/>
        <v>3.9000000000000004</v>
      </c>
      <c r="M35" s="150">
        <v>2.7</v>
      </c>
      <c r="N35" s="152">
        <v>0</v>
      </c>
      <c r="O35" s="150">
        <v>1.2</v>
      </c>
      <c r="P35" s="153">
        <v>0</v>
      </c>
      <c r="Q35" s="152">
        <v>0</v>
      </c>
      <c r="R35" s="157">
        <v>54.3</v>
      </c>
      <c r="S35" s="158">
        <v>9.61</v>
      </c>
      <c r="T35" s="139" t="s">
        <v>32</v>
      </c>
      <c r="U35" s="151">
        <v>0</v>
      </c>
      <c r="V35" s="150">
        <v>0.1</v>
      </c>
    </row>
    <row r="36" spans="1:22" ht="15.75" customHeight="1">
      <c r="A36" s="113">
        <f t="shared" si="2"/>
        <v>31</v>
      </c>
      <c r="B36" s="139" t="s">
        <v>132</v>
      </c>
      <c r="C36" s="140" t="s">
        <v>133</v>
      </c>
      <c r="D36" s="141" t="s">
        <v>27</v>
      </c>
      <c r="E36" s="141" t="s">
        <v>28</v>
      </c>
      <c r="F36" s="141" t="s">
        <v>134</v>
      </c>
      <c r="G36" s="114">
        <v>430703</v>
      </c>
      <c r="H36" s="114" t="s">
        <v>127</v>
      </c>
      <c r="I36" s="141" t="s">
        <v>135</v>
      </c>
      <c r="J36" s="150">
        <f>10.63*2</f>
        <v>21.26</v>
      </c>
      <c r="K36" s="151">
        <v>77.2</v>
      </c>
      <c r="L36" s="150">
        <f t="shared" si="0"/>
        <v>4.699999999999999</v>
      </c>
      <c r="M36" s="150">
        <v>4.1</v>
      </c>
      <c r="N36" s="152">
        <v>0</v>
      </c>
      <c r="O36" s="150">
        <v>0.6</v>
      </c>
      <c r="P36" s="153">
        <v>0</v>
      </c>
      <c r="Q36" s="152">
        <v>0</v>
      </c>
      <c r="R36" s="157">
        <v>53.2</v>
      </c>
      <c r="S36" s="158">
        <v>9.87</v>
      </c>
      <c r="T36" s="139" t="s">
        <v>32</v>
      </c>
      <c r="U36" s="151">
        <v>0</v>
      </c>
      <c r="V36" s="150">
        <v>0</v>
      </c>
    </row>
    <row r="37" spans="1:22" ht="15.75" customHeight="1">
      <c r="A37" s="113">
        <f t="shared" si="2"/>
        <v>32</v>
      </c>
      <c r="B37" s="139" t="s">
        <v>136</v>
      </c>
      <c r="C37" s="140" t="s">
        <v>137</v>
      </c>
      <c r="D37" s="141" t="s">
        <v>27</v>
      </c>
      <c r="E37" s="141" t="s">
        <v>28</v>
      </c>
      <c r="F37" s="141" t="s">
        <v>138</v>
      </c>
      <c r="G37" s="114">
        <v>430703</v>
      </c>
      <c r="H37" s="114" t="s">
        <v>127</v>
      </c>
      <c r="I37" s="141" t="s">
        <v>135</v>
      </c>
      <c r="J37" s="150">
        <f>11.81*2</f>
        <v>23.62</v>
      </c>
      <c r="K37" s="151">
        <v>78.7</v>
      </c>
      <c r="L37" s="150">
        <f t="shared" si="0"/>
        <v>3.6</v>
      </c>
      <c r="M37" s="150">
        <v>2.1</v>
      </c>
      <c r="N37" s="152">
        <v>0</v>
      </c>
      <c r="O37" s="150">
        <v>1.5</v>
      </c>
      <c r="P37" s="153">
        <v>0</v>
      </c>
      <c r="Q37" s="152">
        <v>0</v>
      </c>
      <c r="R37" s="157">
        <v>60.3</v>
      </c>
      <c r="S37" s="158">
        <v>9.49</v>
      </c>
      <c r="T37" s="139" t="s">
        <v>32</v>
      </c>
      <c r="U37" s="151">
        <v>0</v>
      </c>
      <c r="V37" s="150">
        <v>0.1</v>
      </c>
    </row>
    <row r="38" spans="1:22" ht="15.75" customHeight="1">
      <c r="A38" s="113">
        <f t="shared" si="2"/>
        <v>33</v>
      </c>
      <c r="B38" s="139" t="s">
        <v>139</v>
      </c>
      <c r="C38" s="140" t="s">
        <v>140</v>
      </c>
      <c r="D38" s="141" t="s">
        <v>27</v>
      </c>
      <c r="E38" s="141" t="s">
        <v>28</v>
      </c>
      <c r="F38" s="141" t="s">
        <v>141</v>
      </c>
      <c r="G38" s="114">
        <v>430703</v>
      </c>
      <c r="H38" s="114" t="s">
        <v>127</v>
      </c>
      <c r="I38" s="141" t="s">
        <v>135</v>
      </c>
      <c r="J38" s="150">
        <f>12.02*2</f>
        <v>24.04</v>
      </c>
      <c r="K38" s="151">
        <v>78.8</v>
      </c>
      <c r="L38" s="150">
        <f t="shared" si="0"/>
        <v>3.3</v>
      </c>
      <c r="M38" s="150">
        <v>3.3</v>
      </c>
      <c r="N38" s="152">
        <v>0</v>
      </c>
      <c r="O38" s="150">
        <v>0</v>
      </c>
      <c r="P38" s="153">
        <v>0</v>
      </c>
      <c r="Q38" s="152">
        <v>0</v>
      </c>
      <c r="R38" s="157">
        <v>59.3</v>
      </c>
      <c r="S38" s="158">
        <v>10.66</v>
      </c>
      <c r="T38" s="139" t="s">
        <v>32</v>
      </c>
      <c r="U38" s="151">
        <v>0</v>
      </c>
      <c r="V38" s="150">
        <v>0</v>
      </c>
    </row>
    <row r="39" spans="1:22" ht="15.75" customHeight="1">
      <c r="A39" s="113">
        <f t="shared" si="2"/>
        <v>34</v>
      </c>
      <c r="B39" s="139" t="s">
        <v>142</v>
      </c>
      <c r="C39" s="140" t="s">
        <v>143</v>
      </c>
      <c r="D39" s="141" t="s">
        <v>27</v>
      </c>
      <c r="E39" s="141" t="s">
        <v>28</v>
      </c>
      <c r="F39" s="141" t="s">
        <v>144</v>
      </c>
      <c r="G39" s="114">
        <v>430703</v>
      </c>
      <c r="H39" s="114" t="s">
        <v>127</v>
      </c>
      <c r="I39" s="141" t="s">
        <v>145</v>
      </c>
      <c r="J39" s="150">
        <f>11.91*2</f>
        <v>23.82</v>
      </c>
      <c r="K39" s="151">
        <v>73.8</v>
      </c>
      <c r="L39" s="150">
        <f t="shared" si="0"/>
        <v>10.700000000000001</v>
      </c>
      <c r="M39" s="150">
        <v>10.4</v>
      </c>
      <c r="N39" s="152">
        <v>0</v>
      </c>
      <c r="O39" s="150">
        <v>0.3</v>
      </c>
      <c r="P39" s="153">
        <v>0</v>
      </c>
      <c r="Q39" s="152">
        <v>0</v>
      </c>
      <c r="R39" s="157">
        <v>57.3</v>
      </c>
      <c r="S39" s="158">
        <v>10.63</v>
      </c>
      <c r="T39" s="139" t="s">
        <v>32</v>
      </c>
      <c r="U39" s="151">
        <v>0</v>
      </c>
      <c r="V39" s="150">
        <v>0</v>
      </c>
    </row>
    <row r="40" spans="1:22" ht="15.75" customHeight="1">
      <c r="A40" s="113">
        <f t="shared" si="2"/>
        <v>35</v>
      </c>
      <c r="B40" s="139" t="s">
        <v>146</v>
      </c>
      <c r="C40" s="140" t="s">
        <v>147</v>
      </c>
      <c r="D40" s="141" t="s">
        <v>27</v>
      </c>
      <c r="E40" s="141" t="s">
        <v>28</v>
      </c>
      <c r="F40" s="141" t="s">
        <v>148</v>
      </c>
      <c r="G40" s="114">
        <v>430703</v>
      </c>
      <c r="H40" s="114" t="s">
        <v>127</v>
      </c>
      <c r="I40" s="141" t="s">
        <v>145</v>
      </c>
      <c r="J40" s="150">
        <f>13.21*2</f>
        <v>26.42</v>
      </c>
      <c r="K40" s="151">
        <v>77.5</v>
      </c>
      <c r="L40" s="150">
        <f t="shared" si="0"/>
        <v>5.9</v>
      </c>
      <c r="M40" s="150">
        <v>5.9</v>
      </c>
      <c r="N40" s="152">
        <v>0</v>
      </c>
      <c r="O40" s="150">
        <v>0</v>
      </c>
      <c r="P40" s="153">
        <v>0</v>
      </c>
      <c r="Q40" s="152">
        <v>0</v>
      </c>
      <c r="R40" s="157">
        <v>58.8</v>
      </c>
      <c r="S40" s="158">
        <v>10.65</v>
      </c>
      <c r="T40" s="139" t="s">
        <v>32</v>
      </c>
      <c r="U40" s="151">
        <v>0</v>
      </c>
      <c r="V40" s="150">
        <v>0.1</v>
      </c>
    </row>
    <row r="41" spans="1:22" ht="15.75" customHeight="1">
      <c r="A41" s="113">
        <f t="shared" si="2"/>
        <v>36</v>
      </c>
      <c r="B41" s="139" t="s">
        <v>149</v>
      </c>
      <c r="C41" s="140" t="s">
        <v>150</v>
      </c>
      <c r="D41" s="141" t="s">
        <v>27</v>
      </c>
      <c r="E41" s="141" t="s">
        <v>28</v>
      </c>
      <c r="F41" s="141" t="s">
        <v>151</v>
      </c>
      <c r="G41" s="114">
        <v>430703</v>
      </c>
      <c r="H41" s="114" t="s">
        <v>127</v>
      </c>
      <c r="I41" s="141" t="s">
        <v>36</v>
      </c>
      <c r="J41" s="150">
        <f>10.86*2</f>
        <v>21.72</v>
      </c>
      <c r="K41" s="151">
        <v>73</v>
      </c>
      <c r="L41" s="150">
        <f t="shared" si="0"/>
        <v>9.7</v>
      </c>
      <c r="M41" s="150">
        <v>7.7</v>
      </c>
      <c r="N41" s="152">
        <v>0</v>
      </c>
      <c r="O41" s="150">
        <v>2</v>
      </c>
      <c r="P41" s="153">
        <v>0</v>
      </c>
      <c r="Q41" s="152">
        <v>0</v>
      </c>
      <c r="R41" s="157">
        <v>47.7</v>
      </c>
      <c r="S41" s="158">
        <v>9.57</v>
      </c>
      <c r="T41" s="139" t="s">
        <v>32</v>
      </c>
      <c r="U41" s="151">
        <v>0</v>
      </c>
      <c r="V41" s="150">
        <v>0</v>
      </c>
    </row>
    <row r="42" spans="1:22" ht="15.75" customHeight="1">
      <c r="A42" s="113">
        <f t="shared" si="2"/>
        <v>37</v>
      </c>
      <c r="B42" s="139" t="s">
        <v>152</v>
      </c>
      <c r="C42" s="140" t="s">
        <v>153</v>
      </c>
      <c r="D42" s="141" t="s">
        <v>27</v>
      </c>
      <c r="E42" s="141" t="s">
        <v>28</v>
      </c>
      <c r="F42" s="141" t="s">
        <v>154</v>
      </c>
      <c r="G42" s="114">
        <v>430722</v>
      </c>
      <c r="H42" s="114" t="s">
        <v>30</v>
      </c>
      <c r="I42" s="141" t="s">
        <v>64</v>
      </c>
      <c r="J42" s="150">
        <f>10.86*2</f>
        <v>21.72</v>
      </c>
      <c r="K42" s="151">
        <v>74.2</v>
      </c>
      <c r="L42" s="150">
        <f t="shared" si="0"/>
        <v>8.9</v>
      </c>
      <c r="M42" s="150">
        <v>8.6</v>
      </c>
      <c r="N42" s="152">
        <v>0</v>
      </c>
      <c r="O42" s="150">
        <v>0.3</v>
      </c>
      <c r="P42" s="153">
        <v>0</v>
      </c>
      <c r="Q42" s="152">
        <v>0</v>
      </c>
      <c r="R42" s="157">
        <v>44.8</v>
      </c>
      <c r="S42" s="158">
        <v>10.13</v>
      </c>
      <c r="T42" s="139" t="s">
        <v>32</v>
      </c>
      <c r="U42" s="151">
        <v>0</v>
      </c>
      <c r="V42" s="150">
        <v>0</v>
      </c>
    </row>
    <row r="43" spans="1:22" ht="15.75" customHeight="1">
      <c r="A43" s="113">
        <f t="shared" si="2"/>
        <v>38</v>
      </c>
      <c r="B43" s="139" t="s">
        <v>155</v>
      </c>
      <c r="C43" s="140" t="s">
        <v>156</v>
      </c>
      <c r="D43" s="141" t="s">
        <v>27</v>
      </c>
      <c r="E43" s="141" t="s">
        <v>28</v>
      </c>
      <c r="F43" s="141" t="s">
        <v>157</v>
      </c>
      <c r="G43" s="114">
        <v>430722</v>
      </c>
      <c r="H43" s="114" t="s">
        <v>30</v>
      </c>
      <c r="I43" s="141" t="s">
        <v>64</v>
      </c>
      <c r="J43" s="150">
        <f>11.88*2</f>
        <v>23.76</v>
      </c>
      <c r="K43" s="151">
        <v>78.9</v>
      </c>
      <c r="L43" s="150">
        <f t="shared" si="0"/>
        <v>3.3000000000000003</v>
      </c>
      <c r="M43" s="150">
        <v>2.7</v>
      </c>
      <c r="N43" s="152">
        <v>0</v>
      </c>
      <c r="O43" s="150">
        <v>0.6</v>
      </c>
      <c r="P43" s="153">
        <v>0</v>
      </c>
      <c r="Q43" s="152">
        <v>0</v>
      </c>
      <c r="R43" s="157">
        <v>60.2</v>
      </c>
      <c r="S43" s="158">
        <v>11.55</v>
      </c>
      <c r="T43" s="139" t="s">
        <v>32</v>
      </c>
      <c r="U43" s="151">
        <v>0</v>
      </c>
      <c r="V43" s="150">
        <v>0.1</v>
      </c>
    </row>
    <row r="44" spans="1:22" ht="15.75" customHeight="1">
      <c r="A44" s="113">
        <f t="shared" si="2"/>
        <v>39</v>
      </c>
      <c r="B44" s="139" t="s">
        <v>158</v>
      </c>
      <c r="C44" s="140" t="s">
        <v>159</v>
      </c>
      <c r="D44" s="141" t="s">
        <v>27</v>
      </c>
      <c r="E44" s="141" t="s">
        <v>28</v>
      </c>
      <c r="F44" s="141" t="s">
        <v>160</v>
      </c>
      <c r="G44" s="114">
        <v>430722</v>
      </c>
      <c r="H44" s="114" t="s">
        <v>30</v>
      </c>
      <c r="I44" s="141" t="s">
        <v>119</v>
      </c>
      <c r="J44" s="150">
        <f>11.76*2</f>
        <v>23.52</v>
      </c>
      <c r="K44" s="151">
        <v>72.8</v>
      </c>
      <c r="L44" s="150">
        <f t="shared" si="0"/>
        <v>10.9</v>
      </c>
      <c r="M44" s="150">
        <v>10.6</v>
      </c>
      <c r="N44" s="152">
        <v>0</v>
      </c>
      <c r="O44" s="150">
        <v>0.3</v>
      </c>
      <c r="P44" s="153">
        <v>0</v>
      </c>
      <c r="Q44" s="152">
        <v>0</v>
      </c>
      <c r="R44" s="157">
        <v>49.1</v>
      </c>
      <c r="S44" s="158">
        <v>10.94</v>
      </c>
      <c r="T44" s="139" t="s">
        <v>32</v>
      </c>
      <c r="U44" s="151">
        <v>0</v>
      </c>
      <c r="V44" s="150">
        <v>0.2</v>
      </c>
    </row>
    <row r="45" spans="1:22" ht="15.75" customHeight="1">
      <c r="A45" s="113">
        <f t="shared" si="2"/>
        <v>40</v>
      </c>
      <c r="B45" s="139" t="s">
        <v>161</v>
      </c>
      <c r="C45" s="140" t="s">
        <v>162</v>
      </c>
      <c r="D45" s="141" t="s">
        <v>27</v>
      </c>
      <c r="E45" s="141" t="s">
        <v>28</v>
      </c>
      <c r="F45" s="141" t="s">
        <v>163</v>
      </c>
      <c r="G45" s="114">
        <v>430722</v>
      </c>
      <c r="H45" s="114" t="s">
        <v>30</v>
      </c>
      <c r="I45" s="141" t="s">
        <v>64</v>
      </c>
      <c r="J45" s="150">
        <f>11.79*2</f>
        <v>23.58</v>
      </c>
      <c r="K45" s="151">
        <v>79.5</v>
      </c>
      <c r="L45" s="150">
        <f t="shared" si="0"/>
        <v>1.8</v>
      </c>
      <c r="M45" s="150">
        <v>1.6</v>
      </c>
      <c r="N45" s="152">
        <v>0</v>
      </c>
      <c r="O45" s="150">
        <v>0.2</v>
      </c>
      <c r="P45" s="153">
        <v>0</v>
      </c>
      <c r="Q45" s="152">
        <v>0</v>
      </c>
      <c r="R45" s="157">
        <v>49.9</v>
      </c>
      <c r="S45" s="158">
        <v>11.35</v>
      </c>
      <c r="T45" s="139" t="s">
        <v>32</v>
      </c>
      <c r="U45" s="151">
        <v>0</v>
      </c>
      <c r="V45" s="150">
        <v>0.4</v>
      </c>
    </row>
    <row r="46" spans="1:22" ht="15.75" customHeight="1">
      <c r="A46" s="113">
        <f aca="true" t="shared" si="3" ref="A46:A77">A45+1</f>
        <v>41</v>
      </c>
      <c r="B46" s="139" t="s">
        <v>164</v>
      </c>
      <c r="C46" s="140" t="s">
        <v>165</v>
      </c>
      <c r="D46" s="141" t="s">
        <v>27</v>
      </c>
      <c r="E46" s="141" t="s">
        <v>28</v>
      </c>
      <c r="F46" s="141" t="s">
        <v>166</v>
      </c>
      <c r="G46" s="114">
        <v>430722</v>
      </c>
      <c r="H46" s="114" t="s">
        <v>30</v>
      </c>
      <c r="I46" s="141" t="s">
        <v>167</v>
      </c>
      <c r="J46" s="150">
        <f>12.27*2</f>
        <v>24.54</v>
      </c>
      <c r="K46" s="151">
        <v>78.7</v>
      </c>
      <c r="L46" s="150">
        <f t="shared" si="0"/>
        <v>4.1</v>
      </c>
      <c r="M46" s="150">
        <v>2.7</v>
      </c>
      <c r="N46" s="152">
        <v>0</v>
      </c>
      <c r="O46" s="150">
        <v>1.3</v>
      </c>
      <c r="P46" s="153">
        <v>0.1</v>
      </c>
      <c r="Q46" s="152">
        <v>0</v>
      </c>
      <c r="R46" s="157">
        <v>63.3</v>
      </c>
      <c r="S46" s="158">
        <v>9.72</v>
      </c>
      <c r="T46" s="139" t="s">
        <v>32</v>
      </c>
      <c r="U46" s="151">
        <v>0</v>
      </c>
      <c r="V46" s="150">
        <v>0.2</v>
      </c>
    </row>
    <row r="47" spans="1:22" ht="15.75" customHeight="1">
      <c r="A47" s="113">
        <f t="shared" si="3"/>
        <v>42</v>
      </c>
      <c r="B47" s="139" t="s">
        <v>168</v>
      </c>
      <c r="C47" s="140" t="s">
        <v>169</v>
      </c>
      <c r="D47" s="141" t="s">
        <v>27</v>
      </c>
      <c r="E47" s="141" t="s">
        <v>28</v>
      </c>
      <c r="F47" s="141" t="s">
        <v>170</v>
      </c>
      <c r="G47" s="114">
        <v>430722</v>
      </c>
      <c r="H47" s="114" t="s">
        <v>30</v>
      </c>
      <c r="I47" s="141" t="s">
        <v>167</v>
      </c>
      <c r="J47" s="150">
        <f>11.54*2</f>
        <v>23.08</v>
      </c>
      <c r="K47" s="151">
        <v>78.5</v>
      </c>
      <c r="L47" s="150">
        <f t="shared" si="0"/>
        <v>2.5</v>
      </c>
      <c r="M47" s="150">
        <v>2.2</v>
      </c>
      <c r="N47" s="152">
        <v>0</v>
      </c>
      <c r="O47" s="150">
        <v>0.3</v>
      </c>
      <c r="P47" s="153">
        <v>0</v>
      </c>
      <c r="Q47" s="152">
        <v>0</v>
      </c>
      <c r="R47" s="157">
        <v>57.2</v>
      </c>
      <c r="S47" s="158">
        <v>11.22</v>
      </c>
      <c r="T47" s="139" t="s">
        <v>32</v>
      </c>
      <c r="U47" s="151">
        <v>0</v>
      </c>
      <c r="V47" s="150">
        <v>0.1</v>
      </c>
    </row>
    <row r="48" spans="1:22" ht="15.75" customHeight="1">
      <c r="A48" s="113">
        <f t="shared" si="3"/>
        <v>43</v>
      </c>
      <c r="B48" s="139" t="s">
        <v>171</v>
      </c>
      <c r="C48" s="140" t="s">
        <v>172</v>
      </c>
      <c r="D48" s="141" t="s">
        <v>27</v>
      </c>
      <c r="E48" s="141" t="s">
        <v>28</v>
      </c>
      <c r="F48" s="141" t="s">
        <v>173</v>
      </c>
      <c r="G48" s="114">
        <v>430722</v>
      </c>
      <c r="H48" s="114" t="s">
        <v>30</v>
      </c>
      <c r="I48" s="141" t="s">
        <v>174</v>
      </c>
      <c r="J48" s="150">
        <f>11.77*2</f>
        <v>23.54</v>
      </c>
      <c r="K48" s="151">
        <v>75.7</v>
      </c>
      <c r="L48" s="150">
        <f t="shared" si="0"/>
        <v>5.7</v>
      </c>
      <c r="M48" s="150">
        <v>5.4</v>
      </c>
      <c r="N48" s="152">
        <v>0</v>
      </c>
      <c r="O48" s="150">
        <v>0.3</v>
      </c>
      <c r="P48" s="153">
        <v>0</v>
      </c>
      <c r="Q48" s="152">
        <v>0</v>
      </c>
      <c r="R48" s="157">
        <v>53.3</v>
      </c>
      <c r="S48" s="158">
        <v>11.13</v>
      </c>
      <c r="T48" s="139" t="s">
        <v>32</v>
      </c>
      <c r="U48" s="151">
        <v>0</v>
      </c>
      <c r="V48" s="150">
        <v>0</v>
      </c>
    </row>
    <row r="49" spans="1:22" ht="15.75" customHeight="1">
      <c r="A49" s="113">
        <f t="shared" si="3"/>
        <v>44</v>
      </c>
      <c r="B49" s="139" t="s">
        <v>175</v>
      </c>
      <c r="C49" s="140" t="s">
        <v>176</v>
      </c>
      <c r="D49" s="141" t="s">
        <v>27</v>
      </c>
      <c r="E49" s="141" t="s">
        <v>28</v>
      </c>
      <c r="F49" s="141" t="s">
        <v>177</v>
      </c>
      <c r="G49" s="114">
        <v>430722</v>
      </c>
      <c r="H49" s="114" t="s">
        <v>30</v>
      </c>
      <c r="I49" s="141" t="s">
        <v>119</v>
      </c>
      <c r="J49" s="150">
        <f>12.19*2</f>
        <v>24.38</v>
      </c>
      <c r="K49" s="151">
        <v>78</v>
      </c>
      <c r="L49" s="150">
        <f t="shared" si="0"/>
        <v>4</v>
      </c>
      <c r="M49" s="150">
        <v>3.4</v>
      </c>
      <c r="N49" s="152">
        <v>0</v>
      </c>
      <c r="O49" s="150">
        <v>0.6</v>
      </c>
      <c r="P49" s="153">
        <v>0</v>
      </c>
      <c r="Q49" s="152">
        <v>0</v>
      </c>
      <c r="R49" s="157">
        <v>57.3</v>
      </c>
      <c r="S49" s="158">
        <v>10.43</v>
      </c>
      <c r="T49" s="139" t="s">
        <v>32</v>
      </c>
      <c r="U49" s="151">
        <v>0</v>
      </c>
      <c r="V49" s="150">
        <v>0</v>
      </c>
    </row>
    <row r="50" spans="1:22" ht="15.75" customHeight="1">
      <c r="A50" s="113">
        <f t="shared" si="3"/>
        <v>45</v>
      </c>
      <c r="B50" s="139" t="s">
        <v>178</v>
      </c>
      <c r="C50" s="140" t="s">
        <v>179</v>
      </c>
      <c r="D50" s="141" t="s">
        <v>27</v>
      </c>
      <c r="E50" s="141" t="s">
        <v>28</v>
      </c>
      <c r="F50" s="141" t="s">
        <v>180</v>
      </c>
      <c r="G50" s="114">
        <v>430722</v>
      </c>
      <c r="H50" s="114" t="s">
        <v>30</v>
      </c>
      <c r="I50" s="141" t="s">
        <v>64</v>
      </c>
      <c r="J50" s="150">
        <f>11.34*2</f>
        <v>22.68</v>
      </c>
      <c r="K50" s="151">
        <v>75.6</v>
      </c>
      <c r="L50" s="150">
        <f t="shared" si="0"/>
        <v>5.4</v>
      </c>
      <c r="M50" s="150">
        <v>4.5</v>
      </c>
      <c r="N50" s="152">
        <v>0</v>
      </c>
      <c r="O50" s="150">
        <v>0.9</v>
      </c>
      <c r="P50" s="153">
        <v>0</v>
      </c>
      <c r="Q50" s="152">
        <v>0</v>
      </c>
      <c r="R50" s="157">
        <v>54.9</v>
      </c>
      <c r="S50" s="158">
        <v>9.84</v>
      </c>
      <c r="T50" s="139" t="s">
        <v>32</v>
      </c>
      <c r="U50" s="151">
        <v>0</v>
      </c>
      <c r="V50" s="150">
        <v>0.1</v>
      </c>
    </row>
    <row r="51" spans="1:22" ht="15.75" customHeight="1">
      <c r="A51" s="113">
        <f t="shared" si="3"/>
        <v>46</v>
      </c>
      <c r="B51" s="139" t="s">
        <v>181</v>
      </c>
      <c r="C51" s="140" t="s">
        <v>182</v>
      </c>
      <c r="D51" s="141" t="s">
        <v>27</v>
      </c>
      <c r="E51" s="141" t="s">
        <v>28</v>
      </c>
      <c r="F51" s="141" t="s">
        <v>183</v>
      </c>
      <c r="G51" s="114">
        <v>430722</v>
      </c>
      <c r="H51" s="114" t="s">
        <v>30</v>
      </c>
      <c r="I51" s="141" t="s">
        <v>119</v>
      </c>
      <c r="J51" s="150">
        <f>11.86*2</f>
        <v>23.72</v>
      </c>
      <c r="K51" s="151">
        <v>79.5</v>
      </c>
      <c r="L51" s="150">
        <f t="shared" si="0"/>
        <v>2.2</v>
      </c>
      <c r="M51" s="150">
        <v>1.9</v>
      </c>
      <c r="N51" s="152">
        <v>0</v>
      </c>
      <c r="O51" s="150">
        <v>0.2</v>
      </c>
      <c r="P51" s="153">
        <v>0.1</v>
      </c>
      <c r="Q51" s="152">
        <v>0</v>
      </c>
      <c r="R51" s="157">
        <v>64.6</v>
      </c>
      <c r="S51" s="158">
        <v>12.98</v>
      </c>
      <c r="T51" s="139" t="s">
        <v>32</v>
      </c>
      <c r="U51" s="151">
        <v>0</v>
      </c>
      <c r="V51" s="150">
        <v>0</v>
      </c>
    </row>
    <row r="52" spans="1:22" ht="15.75" customHeight="1">
      <c r="A52" s="113">
        <f t="shared" si="3"/>
        <v>47</v>
      </c>
      <c r="B52" s="139" t="s">
        <v>184</v>
      </c>
      <c r="C52" s="140" t="s">
        <v>185</v>
      </c>
      <c r="D52" s="141" t="s">
        <v>27</v>
      </c>
      <c r="E52" s="141" t="s">
        <v>28</v>
      </c>
      <c r="F52" s="141" t="s">
        <v>186</v>
      </c>
      <c r="G52" s="114">
        <v>430722</v>
      </c>
      <c r="H52" s="114" t="s">
        <v>30</v>
      </c>
      <c r="I52" s="141" t="s">
        <v>119</v>
      </c>
      <c r="J52" s="150">
        <f>13.98*2</f>
        <v>27.96</v>
      </c>
      <c r="K52" s="151">
        <v>77.5</v>
      </c>
      <c r="L52" s="150">
        <f t="shared" si="0"/>
        <v>5.3</v>
      </c>
      <c r="M52" s="150">
        <v>3.4</v>
      </c>
      <c r="N52" s="152">
        <v>0</v>
      </c>
      <c r="O52" s="150">
        <v>1.6</v>
      </c>
      <c r="P52" s="153">
        <v>0.3</v>
      </c>
      <c r="Q52" s="152">
        <v>0</v>
      </c>
      <c r="R52" s="157">
        <v>60.1</v>
      </c>
      <c r="S52" s="158">
        <v>11.2</v>
      </c>
      <c r="T52" s="139" t="s">
        <v>32</v>
      </c>
      <c r="U52" s="151">
        <v>0</v>
      </c>
      <c r="V52" s="150">
        <v>0</v>
      </c>
    </row>
    <row r="53" spans="1:22" ht="15.75" customHeight="1">
      <c r="A53" s="113">
        <f t="shared" si="3"/>
        <v>48</v>
      </c>
      <c r="B53" s="139" t="s">
        <v>187</v>
      </c>
      <c r="C53" s="140" t="s">
        <v>188</v>
      </c>
      <c r="D53" s="141" t="s">
        <v>27</v>
      </c>
      <c r="E53" s="141" t="s">
        <v>28</v>
      </c>
      <c r="F53" s="141" t="s">
        <v>189</v>
      </c>
      <c r="G53" s="114">
        <v>430702</v>
      </c>
      <c r="H53" s="114" t="s">
        <v>30</v>
      </c>
      <c r="I53" s="141" t="s">
        <v>64</v>
      </c>
      <c r="J53" s="150">
        <f>11.29*2</f>
        <v>22.58</v>
      </c>
      <c r="K53" s="151">
        <v>78.9</v>
      </c>
      <c r="L53" s="150">
        <f t="shared" si="0"/>
        <v>3.5</v>
      </c>
      <c r="M53" s="150">
        <v>2.9</v>
      </c>
      <c r="N53" s="152">
        <v>0</v>
      </c>
      <c r="O53" s="150">
        <v>0.6</v>
      </c>
      <c r="P53" s="153">
        <v>0</v>
      </c>
      <c r="Q53" s="152">
        <v>0</v>
      </c>
      <c r="R53" s="157">
        <v>56.1</v>
      </c>
      <c r="S53" s="158">
        <v>11.83</v>
      </c>
      <c r="T53" s="139" t="s">
        <v>32</v>
      </c>
      <c r="U53" s="151">
        <v>0</v>
      </c>
      <c r="V53" s="150">
        <v>0</v>
      </c>
    </row>
    <row r="54" spans="1:22" ht="15.75" customHeight="1">
      <c r="A54" s="113">
        <f t="shared" si="3"/>
        <v>49</v>
      </c>
      <c r="B54" s="139" t="s">
        <v>190</v>
      </c>
      <c r="C54" s="140" t="s">
        <v>191</v>
      </c>
      <c r="D54" s="141" t="s">
        <v>27</v>
      </c>
      <c r="E54" s="141" t="s">
        <v>28</v>
      </c>
      <c r="F54" s="141" t="s">
        <v>192</v>
      </c>
      <c r="G54" s="114">
        <v>430702</v>
      </c>
      <c r="H54" s="114" t="s">
        <v>30</v>
      </c>
      <c r="I54" s="141" t="s">
        <v>57</v>
      </c>
      <c r="J54" s="150">
        <f>11.59*2</f>
        <v>23.18</v>
      </c>
      <c r="K54" s="151">
        <v>76.9</v>
      </c>
      <c r="L54" s="150">
        <f t="shared" si="0"/>
        <v>4.2</v>
      </c>
      <c r="M54" s="150">
        <v>3.2</v>
      </c>
      <c r="N54" s="152">
        <v>0</v>
      </c>
      <c r="O54" s="150">
        <v>1</v>
      </c>
      <c r="P54" s="153">
        <v>0</v>
      </c>
      <c r="Q54" s="152">
        <v>0</v>
      </c>
      <c r="R54" s="157">
        <v>57.6</v>
      </c>
      <c r="S54" s="158">
        <v>13.1</v>
      </c>
      <c r="T54" s="139" t="s">
        <v>32</v>
      </c>
      <c r="U54" s="151">
        <v>0</v>
      </c>
      <c r="V54" s="150">
        <v>0.1</v>
      </c>
    </row>
    <row r="55" spans="1:22" ht="15.75" customHeight="1">
      <c r="A55" s="113">
        <f t="shared" si="3"/>
        <v>50</v>
      </c>
      <c r="B55" s="139" t="s">
        <v>193</v>
      </c>
      <c r="C55" s="140" t="s">
        <v>194</v>
      </c>
      <c r="D55" s="141" t="s">
        <v>27</v>
      </c>
      <c r="E55" s="141" t="s">
        <v>28</v>
      </c>
      <c r="F55" s="141" t="s">
        <v>195</v>
      </c>
      <c r="G55" s="114">
        <v>430702</v>
      </c>
      <c r="H55" s="114" t="s">
        <v>30</v>
      </c>
      <c r="I55" s="141" t="s">
        <v>119</v>
      </c>
      <c r="J55" s="150">
        <f>13.55*2</f>
        <v>27.1</v>
      </c>
      <c r="K55" s="151">
        <v>78.6</v>
      </c>
      <c r="L55" s="150">
        <f t="shared" si="0"/>
        <v>4.4</v>
      </c>
      <c r="M55" s="150">
        <v>3.6</v>
      </c>
      <c r="N55" s="152">
        <v>0</v>
      </c>
      <c r="O55" s="150">
        <v>0.8</v>
      </c>
      <c r="P55" s="153">
        <v>0</v>
      </c>
      <c r="Q55" s="152">
        <v>0</v>
      </c>
      <c r="R55" s="157">
        <v>57.6</v>
      </c>
      <c r="S55" s="158">
        <v>10.79</v>
      </c>
      <c r="T55" s="139" t="s">
        <v>32</v>
      </c>
      <c r="U55" s="151">
        <v>0</v>
      </c>
      <c r="V55" s="150">
        <v>1.1</v>
      </c>
    </row>
    <row r="56" spans="1:22" ht="15.75" customHeight="1">
      <c r="A56" s="113">
        <f t="shared" si="3"/>
        <v>51</v>
      </c>
      <c r="B56" s="139" t="s">
        <v>196</v>
      </c>
      <c r="C56" s="140" t="s">
        <v>197</v>
      </c>
      <c r="D56" s="141" t="s">
        <v>27</v>
      </c>
      <c r="E56" s="141" t="s">
        <v>28</v>
      </c>
      <c r="F56" s="141" t="s">
        <v>198</v>
      </c>
      <c r="G56" s="114">
        <v>430726</v>
      </c>
      <c r="H56" s="114" t="s">
        <v>30</v>
      </c>
      <c r="I56" s="141" t="s">
        <v>199</v>
      </c>
      <c r="J56" s="150">
        <f>12.34*2</f>
        <v>24.68</v>
      </c>
      <c r="K56" s="151">
        <v>77.5</v>
      </c>
      <c r="L56" s="150">
        <f t="shared" si="0"/>
        <v>5.1</v>
      </c>
      <c r="M56" s="150">
        <v>3.8</v>
      </c>
      <c r="N56" s="152">
        <v>0</v>
      </c>
      <c r="O56" s="150">
        <v>1.3</v>
      </c>
      <c r="P56" s="153">
        <v>0</v>
      </c>
      <c r="Q56" s="152">
        <v>0</v>
      </c>
      <c r="R56" s="157">
        <v>58.5</v>
      </c>
      <c r="S56" s="158">
        <v>9.24</v>
      </c>
      <c r="T56" s="139" t="s">
        <v>32</v>
      </c>
      <c r="U56" s="151">
        <v>0</v>
      </c>
      <c r="V56" s="150">
        <v>0.1</v>
      </c>
    </row>
    <row r="57" spans="1:22" ht="15.75" customHeight="1">
      <c r="A57" s="113">
        <f t="shared" si="3"/>
        <v>52</v>
      </c>
      <c r="B57" s="139" t="s">
        <v>200</v>
      </c>
      <c r="C57" s="140" t="s">
        <v>201</v>
      </c>
      <c r="D57" s="141" t="s">
        <v>27</v>
      </c>
      <c r="E57" s="141" t="s">
        <v>28</v>
      </c>
      <c r="F57" s="141" t="s">
        <v>202</v>
      </c>
      <c r="G57" s="114">
        <v>430726</v>
      </c>
      <c r="H57" s="114" t="s">
        <v>30</v>
      </c>
      <c r="I57" s="141" t="s">
        <v>106</v>
      </c>
      <c r="J57" s="150">
        <f>12.22*2</f>
        <v>24.44</v>
      </c>
      <c r="K57" s="151">
        <v>77.2</v>
      </c>
      <c r="L57" s="150">
        <f t="shared" si="0"/>
        <v>5.2</v>
      </c>
      <c r="M57" s="150">
        <v>4</v>
      </c>
      <c r="N57" s="152">
        <v>0</v>
      </c>
      <c r="O57" s="150">
        <v>1.2</v>
      </c>
      <c r="P57" s="153">
        <v>0</v>
      </c>
      <c r="Q57" s="152">
        <v>0</v>
      </c>
      <c r="R57" s="157">
        <v>57.9</v>
      </c>
      <c r="S57" s="158">
        <v>9.25</v>
      </c>
      <c r="T57" s="139" t="s">
        <v>32</v>
      </c>
      <c r="U57" s="151">
        <v>0</v>
      </c>
      <c r="V57" s="150">
        <v>0.4</v>
      </c>
    </row>
    <row r="58" spans="1:22" ht="15.75" customHeight="1">
      <c r="A58" s="113">
        <f t="shared" si="3"/>
        <v>53</v>
      </c>
      <c r="B58" s="139" t="s">
        <v>203</v>
      </c>
      <c r="C58" s="140" t="s">
        <v>204</v>
      </c>
      <c r="D58" s="141" t="s">
        <v>27</v>
      </c>
      <c r="E58" s="141" t="s">
        <v>28</v>
      </c>
      <c r="F58" s="141" t="s">
        <v>205</v>
      </c>
      <c r="G58" s="114">
        <v>430781</v>
      </c>
      <c r="H58" s="114" t="s">
        <v>30</v>
      </c>
      <c r="I58" s="141" t="s">
        <v>119</v>
      </c>
      <c r="J58" s="150">
        <f>11.69*2</f>
        <v>23.38</v>
      </c>
      <c r="K58" s="151">
        <v>75.4</v>
      </c>
      <c r="L58" s="150">
        <f t="shared" si="0"/>
        <v>5.9</v>
      </c>
      <c r="M58" s="150">
        <v>5.4</v>
      </c>
      <c r="N58" s="152">
        <v>0</v>
      </c>
      <c r="O58" s="150">
        <v>0.5</v>
      </c>
      <c r="P58" s="153">
        <v>0</v>
      </c>
      <c r="Q58" s="152">
        <v>0</v>
      </c>
      <c r="R58" s="157">
        <v>58.6</v>
      </c>
      <c r="S58" s="158">
        <v>10.58</v>
      </c>
      <c r="T58" s="139" t="s">
        <v>32</v>
      </c>
      <c r="U58" s="151">
        <v>0</v>
      </c>
      <c r="V58" s="150">
        <v>0.8</v>
      </c>
    </row>
    <row r="59" spans="1:22" ht="15.75" customHeight="1">
      <c r="A59" s="113">
        <f t="shared" si="3"/>
        <v>54</v>
      </c>
      <c r="B59" s="139" t="s">
        <v>206</v>
      </c>
      <c r="C59" s="140" t="s">
        <v>207</v>
      </c>
      <c r="D59" s="141" t="s">
        <v>27</v>
      </c>
      <c r="E59" s="141" t="s">
        <v>28</v>
      </c>
      <c r="F59" s="141" t="s">
        <v>208</v>
      </c>
      <c r="G59" s="114">
        <v>430781</v>
      </c>
      <c r="H59" s="114" t="s">
        <v>30</v>
      </c>
      <c r="I59" s="141" t="s">
        <v>167</v>
      </c>
      <c r="J59" s="150">
        <f>11.66*2</f>
        <v>23.32</v>
      </c>
      <c r="K59" s="151">
        <v>76.5</v>
      </c>
      <c r="L59" s="150">
        <f t="shared" si="0"/>
        <v>7.999999999999999</v>
      </c>
      <c r="M59" s="150">
        <v>7.3</v>
      </c>
      <c r="N59" s="152">
        <v>0</v>
      </c>
      <c r="O59" s="150">
        <v>0.6</v>
      </c>
      <c r="P59" s="153">
        <v>0</v>
      </c>
      <c r="Q59" s="152">
        <v>0.1</v>
      </c>
      <c r="R59" s="157">
        <v>65.3</v>
      </c>
      <c r="S59" s="158">
        <v>9.69</v>
      </c>
      <c r="T59" s="139" t="s">
        <v>32</v>
      </c>
      <c r="U59" s="151">
        <v>0</v>
      </c>
      <c r="V59" s="150">
        <v>0</v>
      </c>
    </row>
    <row r="60" spans="1:22" ht="15.75" customHeight="1">
      <c r="A60" s="113">
        <f t="shared" si="3"/>
        <v>55</v>
      </c>
      <c r="B60" s="139" t="s">
        <v>209</v>
      </c>
      <c r="C60" s="140" t="s">
        <v>210</v>
      </c>
      <c r="D60" s="141" t="s">
        <v>27</v>
      </c>
      <c r="E60" s="141" t="s">
        <v>28</v>
      </c>
      <c r="F60" s="141" t="s">
        <v>211</v>
      </c>
      <c r="G60" s="114">
        <v>430781</v>
      </c>
      <c r="H60" s="114" t="s">
        <v>30</v>
      </c>
      <c r="I60" s="141" t="s">
        <v>119</v>
      </c>
      <c r="J60" s="150">
        <f>12.82*2</f>
        <v>25.64</v>
      </c>
      <c r="K60" s="151">
        <v>76.4</v>
      </c>
      <c r="L60" s="150">
        <f t="shared" si="0"/>
        <v>7.199999999999999</v>
      </c>
      <c r="M60" s="150">
        <v>5.1</v>
      </c>
      <c r="N60" s="152">
        <v>0</v>
      </c>
      <c r="O60" s="150">
        <v>2.1</v>
      </c>
      <c r="P60" s="153">
        <v>0</v>
      </c>
      <c r="Q60" s="152">
        <v>0</v>
      </c>
      <c r="R60" s="157">
        <v>56.1</v>
      </c>
      <c r="S60" s="158">
        <v>12.66</v>
      </c>
      <c r="T60" s="139" t="s">
        <v>32</v>
      </c>
      <c r="U60" s="151">
        <v>0</v>
      </c>
      <c r="V60" s="150">
        <v>0.4</v>
      </c>
    </row>
    <row r="61" spans="1:22" ht="15.75" customHeight="1">
      <c r="A61" s="113">
        <f t="shared" si="3"/>
        <v>56</v>
      </c>
      <c r="B61" s="139" t="s">
        <v>212</v>
      </c>
      <c r="C61" s="140" t="s">
        <v>213</v>
      </c>
      <c r="D61" s="141" t="s">
        <v>27</v>
      </c>
      <c r="E61" s="141" t="s">
        <v>28</v>
      </c>
      <c r="F61" s="141" t="s">
        <v>214</v>
      </c>
      <c r="G61" s="114">
        <v>430781</v>
      </c>
      <c r="H61" s="114" t="s">
        <v>30</v>
      </c>
      <c r="I61" s="141" t="s">
        <v>119</v>
      </c>
      <c r="J61" s="150">
        <f>13.32*2</f>
        <v>26.64</v>
      </c>
      <c r="K61" s="151">
        <v>77.1</v>
      </c>
      <c r="L61" s="150">
        <f t="shared" si="0"/>
        <v>8.7</v>
      </c>
      <c r="M61" s="150">
        <v>7.8</v>
      </c>
      <c r="N61" s="152">
        <v>0</v>
      </c>
      <c r="O61" s="150">
        <v>0.6</v>
      </c>
      <c r="P61" s="153">
        <v>0.1</v>
      </c>
      <c r="Q61" s="152">
        <v>0.2</v>
      </c>
      <c r="R61" s="157">
        <v>65.2</v>
      </c>
      <c r="S61" s="158">
        <v>12.88</v>
      </c>
      <c r="T61" s="139" t="s">
        <v>32</v>
      </c>
      <c r="U61" s="151">
        <v>0</v>
      </c>
      <c r="V61" s="150">
        <v>0.2</v>
      </c>
    </row>
    <row r="62" spans="1:22" ht="15.75" customHeight="1">
      <c r="A62" s="113">
        <f t="shared" si="3"/>
        <v>57</v>
      </c>
      <c r="B62" s="139" t="s">
        <v>215</v>
      </c>
      <c r="C62" s="140" t="s">
        <v>216</v>
      </c>
      <c r="D62" s="141" t="s">
        <v>27</v>
      </c>
      <c r="E62" s="141" t="s">
        <v>28</v>
      </c>
      <c r="F62" s="141" t="s">
        <v>217</v>
      </c>
      <c r="G62" s="114">
        <v>430781</v>
      </c>
      <c r="H62" s="114" t="s">
        <v>30</v>
      </c>
      <c r="I62" s="141" t="s">
        <v>167</v>
      </c>
      <c r="J62" s="150">
        <f>13.92*2</f>
        <v>27.84</v>
      </c>
      <c r="K62" s="151">
        <v>76.6</v>
      </c>
      <c r="L62" s="150">
        <f t="shared" si="0"/>
        <v>7.6000000000000005</v>
      </c>
      <c r="M62" s="150">
        <v>4.9</v>
      </c>
      <c r="N62" s="152">
        <v>0</v>
      </c>
      <c r="O62" s="150">
        <v>2.7</v>
      </c>
      <c r="P62" s="153">
        <v>0</v>
      </c>
      <c r="Q62" s="152">
        <v>0</v>
      </c>
      <c r="R62" s="157">
        <v>56.7</v>
      </c>
      <c r="S62" s="158">
        <v>11.2</v>
      </c>
      <c r="T62" s="139" t="s">
        <v>32</v>
      </c>
      <c r="U62" s="151">
        <v>0</v>
      </c>
      <c r="V62" s="150">
        <v>1.4</v>
      </c>
    </row>
    <row r="63" spans="1:22" ht="15.75" customHeight="1">
      <c r="A63" s="113">
        <f t="shared" si="3"/>
        <v>58</v>
      </c>
      <c r="B63" s="139" t="s">
        <v>218</v>
      </c>
      <c r="C63" s="140" t="s">
        <v>219</v>
      </c>
      <c r="D63" s="141" t="s">
        <v>27</v>
      </c>
      <c r="E63" s="141" t="s">
        <v>28</v>
      </c>
      <c r="F63" s="141" t="s">
        <v>220</v>
      </c>
      <c r="G63" s="114">
        <v>430703</v>
      </c>
      <c r="H63" s="114" t="s">
        <v>30</v>
      </c>
      <c r="I63" s="141" t="s">
        <v>119</v>
      </c>
      <c r="J63" s="150">
        <f>11.6*2</f>
        <v>23.2</v>
      </c>
      <c r="K63" s="151">
        <v>77.7</v>
      </c>
      <c r="L63" s="150">
        <f t="shared" si="0"/>
        <v>5.1</v>
      </c>
      <c r="M63" s="150">
        <v>5.1</v>
      </c>
      <c r="N63" s="152">
        <v>0</v>
      </c>
      <c r="O63" s="150">
        <v>0</v>
      </c>
      <c r="P63" s="153">
        <v>0</v>
      </c>
      <c r="Q63" s="152">
        <v>0</v>
      </c>
      <c r="R63" s="157">
        <v>63</v>
      </c>
      <c r="S63" s="158">
        <v>12.38</v>
      </c>
      <c r="T63" s="139" t="s">
        <v>32</v>
      </c>
      <c r="U63" s="151">
        <v>0</v>
      </c>
      <c r="V63" s="150">
        <v>0.4</v>
      </c>
    </row>
    <row r="64" spans="1:22" ht="15.75" customHeight="1">
      <c r="A64" s="113">
        <f t="shared" si="3"/>
        <v>59</v>
      </c>
      <c r="B64" s="139" t="s">
        <v>221</v>
      </c>
      <c r="C64" s="140" t="s">
        <v>222</v>
      </c>
      <c r="D64" s="141" t="s">
        <v>27</v>
      </c>
      <c r="E64" s="141" t="s">
        <v>28</v>
      </c>
      <c r="F64" s="141" t="s">
        <v>223</v>
      </c>
      <c r="G64" s="114">
        <v>430703</v>
      </c>
      <c r="H64" s="114" t="s">
        <v>30</v>
      </c>
      <c r="I64" s="141" t="s">
        <v>119</v>
      </c>
      <c r="J64" s="150">
        <f>11.45*2</f>
        <v>22.9</v>
      </c>
      <c r="K64" s="151">
        <v>78.4</v>
      </c>
      <c r="L64" s="150">
        <f t="shared" si="0"/>
        <v>5.800000000000001</v>
      </c>
      <c r="M64" s="150">
        <v>4.9</v>
      </c>
      <c r="N64" s="152">
        <v>0</v>
      </c>
      <c r="O64" s="150">
        <v>0.9</v>
      </c>
      <c r="P64" s="153">
        <v>0</v>
      </c>
      <c r="Q64" s="152">
        <v>0</v>
      </c>
      <c r="R64" s="157">
        <v>63.1</v>
      </c>
      <c r="S64" s="158">
        <v>12.05</v>
      </c>
      <c r="T64" s="139" t="s">
        <v>32</v>
      </c>
      <c r="U64" s="151">
        <v>0</v>
      </c>
      <c r="V64" s="150">
        <v>0.2</v>
      </c>
    </row>
    <row r="65" spans="1:22" ht="15.75" customHeight="1">
      <c r="A65" s="113">
        <f t="shared" si="3"/>
        <v>60</v>
      </c>
      <c r="B65" s="139" t="s">
        <v>224</v>
      </c>
      <c r="C65" s="140" t="s">
        <v>225</v>
      </c>
      <c r="D65" s="141" t="s">
        <v>27</v>
      </c>
      <c r="E65" s="141" t="s">
        <v>28</v>
      </c>
      <c r="F65" s="141" t="s">
        <v>226</v>
      </c>
      <c r="G65" s="114">
        <v>430703</v>
      </c>
      <c r="H65" s="114" t="s">
        <v>30</v>
      </c>
      <c r="I65" s="141" t="s">
        <v>119</v>
      </c>
      <c r="J65" s="150">
        <f>11.14*2</f>
        <v>22.28</v>
      </c>
      <c r="K65" s="151">
        <v>77.7</v>
      </c>
      <c r="L65" s="150">
        <f t="shared" si="0"/>
        <v>4.6</v>
      </c>
      <c r="M65" s="150">
        <v>3.9</v>
      </c>
      <c r="N65" s="152">
        <v>0</v>
      </c>
      <c r="O65" s="150">
        <v>0.7</v>
      </c>
      <c r="P65" s="153">
        <v>0</v>
      </c>
      <c r="Q65" s="152">
        <v>0</v>
      </c>
      <c r="R65" s="157">
        <v>60.2</v>
      </c>
      <c r="S65" s="158">
        <v>11.99</v>
      </c>
      <c r="T65" s="139" t="s">
        <v>32</v>
      </c>
      <c r="U65" s="151">
        <v>0</v>
      </c>
      <c r="V65" s="150">
        <v>0.1</v>
      </c>
    </row>
    <row r="66" spans="1:22" ht="15.75" customHeight="1">
      <c r="A66" s="113">
        <f t="shared" si="3"/>
        <v>61</v>
      </c>
      <c r="B66" s="139" t="s">
        <v>227</v>
      </c>
      <c r="C66" s="140" t="s">
        <v>228</v>
      </c>
      <c r="D66" s="141" t="s">
        <v>27</v>
      </c>
      <c r="E66" s="141" t="s">
        <v>28</v>
      </c>
      <c r="F66" s="141" t="s">
        <v>229</v>
      </c>
      <c r="G66" s="114">
        <v>430703</v>
      </c>
      <c r="H66" s="114" t="s">
        <v>30</v>
      </c>
      <c r="I66" s="141" t="s">
        <v>64</v>
      </c>
      <c r="J66" s="150">
        <f>12.05*2</f>
        <v>24.1</v>
      </c>
      <c r="K66" s="151">
        <v>77.8</v>
      </c>
      <c r="L66" s="150">
        <f t="shared" si="0"/>
        <v>5.4</v>
      </c>
      <c r="M66" s="150">
        <v>5</v>
      </c>
      <c r="N66" s="152">
        <v>0</v>
      </c>
      <c r="O66" s="150">
        <v>0.4</v>
      </c>
      <c r="P66" s="153">
        <v>0</v>
      </c>
      <c r="Q66" s="152">
        <v>0</v>
      </c>
      <c r="R66" s="157">
        <v>67</v>
      </c>
      <c r="S66" s="158">
        <v>13.4</v>
      </c>
      <c r="T66" s="139" t="s">
        <v>32</v>
      </c>
      <c r="U66" s="151">
        <v>0</v>
      </c>
      <c r="V66" s="150">
        <v>0.1</v>
      </c>
    </row>
    <row r="67" spans="1:22" ht="15.75" customHeight="1">
      <c r="A67" s="113">
        <f t="shared" si="3"/>
        <v>62</v>
      </c>
      <c r="B67" s="139" t="s">
        <v>230</v>
      </c>
      <c r="C67" s="140" t="s">
        <v>231</v>
      </c>
      <c r="D67" s="141" t="s">
        <v>27</v>
      </c>
      <c r="E67" s="141" t="s">
        <v>28</v>
      </c>
      <c r="F67" s="141" t="s">
        <v>232</v>
      </c>
      <c r="G67" s="114">
        <v>430703</v>
      </c>
      <c r="H67" s="114" t="s">
        <v>30</v>
      </c>
      <c r="I67" s="141" t="s">
        <v>233</v>
      </c>
      <c r="J67" s="150">
        <f>11.95*2</f>
        <v>23.9</v>
      </c>
      <c r="K67" s="151">
        <v>77.6</v>
      </c>
      <c r="L67" s="150">
        <f t="shared" si="0"/>
        <v>4.9</v>
      </c>
      <c r="M67" s="150">
        <v>4</v>
      </c>
      <c r="N67" s="152">
        <v>0</v>
      </c>
      <c r="O67" s="150">
        <v>0.9</v>
      </c>
      <c r="P67" s="153">
        <v>0</v>
      </c>
      <c r="Q67" s="152">
        <v>0</v>
      </c>
      <c r="R67" s="157">
        <v>64.8</v>
      </c>
      <c r="S67" s="158">
        <v>13.04</v>
      </c>
      <c r="T67" s="139" t="s">
        <v>32</v>
      </c>
      <c r="U67" s="151">
        <v>0</v>
      </c>
      <c r="V67" s="150">
        <v>0.3</v>
      </c>
    </row>
    <row r="68" spans="1:22" ht="15.75" customHeight="1">
      <c r="A68" s="113">
        <f t="shared" si="3"/>
        <v>63</v>
      </c>
      <c r="B68" s="139" t="s">
        <v>234</v>
      </c>
      <c r="C68" s="140" t="s">
        <v>235</v>
      </c>
      <c r="D68" s="141" t="s">
        <v>27</v>
      </c>
      <c r="E68" s="141" t="s">
        <v>28</v>
      </c>
      <c r="F68" s="141" t="s">
        <v>236</v>
      </c>
      <c r="G68" s="114">
        <v>430703</v>
      </c>
      <c r="H68" s="114" t="s">
        <v>30</v>
      </c>
      <c r="I68" s="141" t="s">
        <v>167</v>
      </c>
      <c r="J68" s="150">
        <f>11.87*2</f>
        <v>23.74</v>
      </c>
      <c r="K68" s="151">
        <v>77.4</v>
      </c>
      <c r="L68" s="150">
        <f t="shared" si="0"/>
        <v>6.2</v>
      </c>
      <c r="M68" s="150">
        <v>6</v>
      </c>
      <c r="N68" s="152">
        <v>0</v>
      </c>
      <c r="O68" s="150">
        <v>0.2</v>
      </c>
      <c r="P68" s="153">
        <v>0</v>
      </c>
      <c r="Q68" s="152">
        <v>0</v>
      </c>
      <c r="R68" s="157">
        <v>68.6</v>
      </c>
      <c r="S68" s="158">
        <v>12.7</v>
      </c>
      <c r="T68" s="139" t="s">
        <v>32</v>
      </c>
      <c r="U68" s="151">
        <v>0</v>
      </c>
      <c r="V68" s="150">
        <v>0.3</v>
      </c>
    </row>
    <row r="69" spans="1:22" ht="15.75" customHeight="1">
      <c r="A69" s="113">
        <f t="shared" si="3"/>
        <v>64</v>
      </c>
      <c r="B69" s="139" t="s">
        <v>237</v>
      </c>
      <c r="C69" s="140" t="s">
        <v>238</v>
      </c>
      <c r="D69" s="141" t="s">
        <v>27</v>
      </c>
      <c r="E69" s="141" t="s">
        <v>28</v>
      </c>
      <c r="F69" s="141" t="s">
        <v>239</v>
      </c>
      <c r="G69" s="114">
        <v>430722</v>
      </c>
      <c r="H69" s="114" t="s">
        <v>127</v>
      </c>
      <c r="I69" s="141" t="s">
        <v>40</v>
      </c>
      <c r="J69" s="150">
        <f>11.75*2</f>
        <v>23.5</v>
      </c>
      <c r="K69" s="151">
        <v>79.8</v>
      </c>
      <c r="L69" s="150">
        <f t="shared" si="0"/>
        <v>2.8000000000000003</v>
      </c>
      <c r="M69" s="150">
        <v>2.2</v>
      </c>
      <c r="N69" s="152">
        <v>0</v>
      </c>
      <c r="O69" s="150">
        <v>0.6</v>
      </c>
      <c r="P69" s="153">
        <v>0</v>
      </c>
      <c r="Q69" s="152">
        <v>0</v>
      </c>
      <c r="R69" s="157">
        <v>66.2</v>
      </c>
      <c r="S69" s="158">
        <v>10.44</v>
      </c>
      <c r="T69" s="139" t="s">
        <v>32</v>
      </c>
      <c r="U69" s="151">
        <v>0</v>
      </c>
      <c r="V69" s="150">
        <v>0.7</v>
      </c>
    </row>
    <row r="70" spans="1:22" ht="15.75" customHeight="1">
      <c r="A70" s="113">
        <f t="shared" si="3"/>
        <v>65</v>
      </c>
      <c r="B70" s="139" t="s">
        <v>240</v>
      </c>
      <c r="C70" s="140" t="s">
        <v>241</v>
      </c>
      <c r="D70" s="141" t="s">
        <v>27</v>
      </c>
      <c r="E70" s="141" t="s">
        <v>28</v>
      </c>
      <c r="F70" s="141" t="s">
        <v>242</v>
      </c>
      <c r="G70" s="114">
        <v>430722</v>
      </c>
      <c r="H70" s="114" t="s">
        <v>127</v>
      </c>
      <c r="I70" s="141" t="s">
        <v>40</v>
      </c>
      <c r="J70" s="150">
        <f>11.48*2</f>
        <v>22.96</v>
      </c>
      <c r="K70" s="151">
        <v>75.4</v>
      </c>
      <c r="L70" s="150">
        <f aca="true" t="shared" si="4" ref="L70:L133">SUM(M70:Q70)</f>
        <v>6.5</v>
      </c>
      <c r="M70" s="150">
        <v>5.3</v>
      </c>
      <c r="N70" s="152">
        <v>0</v>
      </c>
      <c r="O70" s="150">
        <v>1.2</v>
      </c>
      <c r="P70" s="153">
        <v>0</v>
      </c>
      <c r="Q70" s="152">
        <v>0</v>
      </c>
      <c r="R70" s="157">
        <v>63.3</v>
      </c>
      <c r="S70" s="158">
        <v>12.03</v>
      </c>
      <c r="T70" s="139" t="s">
        <v>32</v>
      </c>
      <c r="U70" s="151">
        <v>0</v>
      </c>
      <c r="V70" s="150">
        <v>0.1</v>
      </c>
    </row>
    <row r="71" spans="1:22" ht="15.75" customHeight="1">
      <c r="A71" s="113">
        <f t="shared" si="3"/>
        <v>66</v>
      </c>
      <c r="B71" s="139" t="s">
        <v>243</v>
      </c>
      <c r="C71" s="140" t="s">
        <v>244</v>
      </c>
      <c r="D71" s="141" t="s">
        <v>27</v>
      </c>
      <c r="E71" s="141" t="s">
        <v>28</v>
      </c>
      <c r="F71" s="141" t="s">
        <v>245</v>
      </c>
      <c r="G71" s="114">
        <v>430722</v>
      </c>
      <c r="H71" s="114" t="s">
        <v>127</v>
      </c>
      <c r="I71" s="141" t="s">
        <v>40</v>
      </c>
      <c r="J71" s="150">
        <f>11.37*2</f>
        <v>22.74</v>
      </c>
      <c r="K71" s="151">
        <v>75.5</v>
      </c>
      <c r="L71" s="150">
        <f t="shared" si="4"/>
        <v>5</v>
      </c>
      <c r="M71" s="150">
        <v>4.8</v>
      </c>
      <c r="N71" s="152">
        <v>0</v>
      </c>
      <c r="O71" s="150">
        <v>0.2</v>
      </c>
      <c r="P71" s="153">
        <v>0</v>
      </c>
      <c r="Q71" s="152">
        <v>0</v>
      </c>
      <c r="R71" s="157">
        <v>47.5</v>
      </c>
      <c r="S71" s="158">
        <v>10.9</v>
      </c>
      <c r="T71" s="139" t="s">
        <v>32</v>
      </c>
      <c r="U71" s="151">
        <v>0</v>
      </c>
      <c r="V71" s="150">
        <v>0.2</v>
      </c>
    </row>
    <row r="72" spans="1:22" ht="15.75" customHeight="1">
      <c r="A72" s="113">
        <f t="shared" si="3"/>
        <v>67</v>
      </c>
      <c r="B72" s="139" t="s">
        <v>246</v>
      </c>
      <c r="C72" s="140" t="s">
        <v>247</v>
      </c>
      <c r="D72" s="141" t="s">
        <v>27</v>
      </c>
      <c r="E72" s="141" t="s">
        <v>28</v>
      </c>
      <c r="F72" s="141" t="s">
        <v>248</v>
      </c>
      <c r="G72" s="114">
        <v>430722</v>
      </c>
      <c r="H72" s="114" t="s">
        <v>127</v>
      </c>
      <c r="I72" s="141" t="s">
        <v>40</v>
      </c>
      <c r="J72" s="150">
        <f>11.61*2</f>
        <v>23.22</v>
      </c>
      <c r="K72" s="151">
        <v>79</v>
      </c>
      <c r="L72" s="150">
        <f t="shared" si="4"/>
        <v>2.1</v>
      </c>
      <c r="M72" s="150">
        <v>1.9</v>
      </c>
      <c r="N72" s="152">
        <v>0</v>
      </c>
      <c r="O72" s="150">
        <v>0.2</v>
      </c>
      <c r="P72" s="153">
        <v>0</v>
      </c>
      <c r="Q72" s="152">
        <v>0</v>
      </c>
      <c r="R72" s="157">
        <v>49.2</v>
      </c>
      <c r="S72" s="158">
        <v>12.18</v>
      </c>
      <c r="T72" s="139" t="s">
        <v>32</v>
      </c>
      <c r="U72" s="151">
        <v>0</v>
      </c>
      <c r="V72" s="150">
        <v>0.1</v>
      </c>
    </row>
    <row r="73" spans="1:22" ht="15.75" customHeight="1">
      <c r="A73" s="113">
        <f t="shared" si="3"/>
        <v>68</v>
      </c>
      <c r="B73" s="139" t="s">
        <v>249</v>
      </c>
      <c r="C73" s="140" t="s">
        <v>250</v>
      </c>
      <c r="D73" s="141" t="s">
        <v>27</v>
      </c>
      <c r="E73" s="141" t="s">
        <v>28</v>
      </c>
      <c r="F73" s="141" t="s">
        <v>251</v>
      </c>
      <c r="G73" s="114">
        <v>430722</v>
      </c>
      <c r="H73" s="114" t="s">
        <v>127</v>
      </c>
      <c r="I73" s="141" t="s">
        <v>40</v>
      </c>
      <c r="J73" s="150">
        <f>13.28*2</f>
        <v>26.56</v>
      </c>
      <c r="K73" s="151">
        <v>78.6</v>
      </c>
      <c r="L73" s="150">
        <f t="shared" si="4"/>
        <v>4.6</v>
      </c>
      <c r="M73" s="150">
        <v>3.8</v>
      </c>
      <c r="N73" s="152">
        <v>0</v>
      </c>
      <c r="O73" s="150">
        <v>0.6</v>
      </c>
      <c r="P73" s="153">
        <v>0.2</v>
      </c>
      <c r="Q73" s="152">
        <v>0</v>
      </c>
      <c r="R73" s="157">
        <v>60.2</v>
      </c>
      <c r="S73" s="158">
        <v>12.26</v>
      </c>
      <c r="T73" s="139" t="s">
        <v>32</v>
      </c>
      <c r="U73" s="151">
        <v>0</v>
      </c>
      <c r="V73" s="150">
        <v>0.1</v>
      </c>
    </row>
    <row r="74" spans="1:22" ht="15.75" customHeight="1">
      <c r="A74" s="113">
        <f t="shared" si="3"/>
        <v>69</v>
      </c>
      <c r="B74" s="139" t="s">
        <v>252</v>
      </c>
      <c r="C74" s="140" t="s">
        <v>253</v>
      </c>
      <c r="D74" s="141" t="s">
        <v>27</v>
      </c>
      <c r="E74" s="141" t="s">
        <v>28</v>
      </c>
      <c r="F74" s="141" t="s">
        <v>254</v>
      </c>
      <c r="G74" s="114">
        <v>430722</v>
      </c>
      <c r="H74" s="114" t="s">
        <v>127</v>
      </c>
      <c r="I74" s="141" t="s">
        <v>40</v>
      </c>
      <c r="J74" s="150">
        <f>12.1*2</f>
        <v>24.2</v>
      </c>
      <c r="K74" s="151">
        <v>77.9</v>
      </c>
      <c r="L74" s="150">
        <f t="shared" si="4"/>
        <v>6.8</v>
      </c>
      <c r="M74" s="150">
        <v>5.5</v>
      </c>
      <c r="N74" s="152">
        <v>0</v>
      </c>
      <c r="O74" s="150">
        <v>1</v>
      </c>
      <c r="P74" s="153">
        <v>0.3</v>
      </c>
      <c r="Q74" s="152">
        <v>0</v>
      </c>
      <c r="R74" s="157">
        <v>59.3</v>
      </c>
      <c r="S74" s="158">
        <v>10.07</v>
      </c>
      <c r="T74" s="139" t="s">
        <v>32</v>
      </c>
      <c r="U74" s="151">
        <v>0</v>
      </c>
      <c r="V74" s="150">
        <v>0.3</v>
      </c>
    </row>
    <row r="75" spans="1:22" ht="15.75" customHeight="1">
      <c r="A75" s="113">
        <f t="shared" si="3"/>
        <v>70</v>
      </c>
      <c r="B75" s="139" t="s">
        <v>255</v>
      </c>
      <c r="C75" s="140" t="s">
        <v>256</v>
      </c>
      <c r="D75" s="141" t="s">
        <v>27</v>
      </c>
      <c r="E75" s="141" t="s">
        <v>28</v>
      </c>
      <c r="F75" s="141" t="s">
        <v>257</v>
      </c>
      <c r="G75" s="114">
        <v>430722</v>
      </c>
      <c r="H75" s="114" t="s">
        <v>127</v>
      </c>
      <c r="I75" s="141" t="s">
        <v>40</v>
      </c>
      <c r="J75" s="150">
        <f>11.61*2</f>
        <v>23.22</v>
      </c>
      <c r="K75" s="151">
        <v>78.1</v>
      </c>
      <c r="L75" s="150">
        <f t="shared" si="4"/>
        <v>4.7</v>
      </c>
      <c r="M75" s="150">
        <v>4.5</v>
      </c>
      <c r="N75" s="152">
        <v>0</v>
      </c>
      <c r="O75" s="150">
        <v>0.2</v>
      </c>
      <c r="P75" s="153">
        <v>0</v>
      </c>
      <c r="Q75" s="152">
        <v>0</v>
      </c>
      <c r="R75" s="157">
        <v>67.1</v>
      </c>
      <c r="S75" s="158">
        <v>10.93</v>
      </c>
      <c r="T75" s="139" t="s">
        <v>32</v>
      </c>
      <c r="U75" s="151">
        <v>0</v>
      </c>
      <c r="V75" s="150">
        <v>0</v>
      </c>
    </row>
    <row r="76" spans="1:22" ht="15.75" customHeight="1">
      <c r="A76" s="113">
        <f t="shared" si="3"/>
        <v>71</v>
      </c>
      <c r="B76" s="139" t="s">
        <v>258</v>
      </c>
      <c r="C76" s="140" t="s">
        <v>259</v>
      </c>
      <c r="D76" s="141" t="s">
        <v>27</v>
      </c>
      <c r="E76" s="141" t="s">
        <v>28</v>
      </c>
      <c r="F76" s="141" t="s">
        <v>260</v>
      </c>
      <c r="G76" s="114">
        <v>430722</v>
      </c>
      <c r="H76" s="114" t="s">
        <v>127</v>
      </c>
      <c r="I76" s="141" t="s">
        <v>261</v>
      </c>
      <c r="J76" s="150">
        <f>11.84*2</f>
        <v>23.68</v>
      </c>
      <c r="K76" s="151">
        <v>78</v>
      </c>
      <c r="L76" s="150">
        <f t="shared" si="4"/>
        <v>3.5</v>
      </c>
      <c r="M76" s="150">
        <v>3</v>
      </c>
      <c r="N76" s="152">
        <v>0</v>
      </c>
      <c r="O76" s="150">
        <v>0.5</v>
      </c>
      <c r="P76" s="153">
        <v>0</v>
      </c>
      <c r="Q76" s="152">
        <v>0</v>
      </c>
      <c r="R76" s="157">
        <v>60.4</v>
      </c>
      <c r="S76" s="158">
        <v>12.13</v>
      </c>
      <c r="T76" s="139" t="s">
        <v>32</v>
      </c>
      <c r="U76" s="151">
        <v>0</v>
      </c>
      <c r="V76" s="150">
        <v>0.1</v>
      </c>
    </row>
    <row r="77" spans="1:22" ht="15.75" customHeight="1">
      <c r="A77" s="113">
        <f t="shared" si="3"/>
        <v>72</v>
      </c>
      <c r="B77" s="139" t="s">
        <v>262</v>
      </c>
      <c r="C77" s="140" t="s">
        <v>263</v>
      </c>
      <c r="D77" s="141" t="s">
        <v>27</v>
      </c>
      <c r="E77" s="141" t="s">
        <v>28</v>
      </c>
      <c r="F77" s="141" t="s">
        <v>264</v>
      </c>
      <c r="G77" s="114">
        <v>430722</v>
      </c>
      <c r="H77" s="114" t="s">
        <v>127</v>
      </c>
      <c r="I77" s="141" t="s">
        <v>64</v>
      </c>
      <c r="J77" s="24">
        <f>11.56*2</f>
        <v>23.12</v>
      </c>
      <c r="K77" s="151">
        <v>77.6</v>
      </c>
      <c r="L77" s="150">
        <f t="shared" si="4"/>
        <v>5.6</v>
      </c>
      <c r="M77" s="150">
        <v>5.3</v>
      </c>
      <c r="N77" s="152">
        <v>0</v>
      </c>
      <c r="O77" s="150">
        <v>0.3</v>
      </c>
      <c r="P77" s="153">
        <v>0</v>
      </c>
      <c r="Q77" s="152">
        <v>0</v>
      </c>
      <c r="R77" s="157">
        <v>66.9</v>
      </c>
      <c r="S77" s="158">
        <v>10.17</v>
      </c>
      <c r="T77" s="139" t="s">
        <v>32</v>
      </c>
      <c r="U77" s="151">
        <v>0</v>
      </c>
      <c r="V77" s="150">
        <v>0.2</v>
      </c>
    </row>
    <row r="78" spans="1:22" ht="15.75" customHeight="1">
      <c r="A78" s="113">
        <f aca="true" t="shared" si="5" ref="A78:A121">A77+1</f>
        <v>73</v>
      </c>
      <c r="B78" s="139" t="s">
        <v>265</v>
      </c>
      <c r="C78" s="140" t="s">
        <v>266</v>
      </c>
      <c r="D78" s="141" t="s">
        <v>27</v>
      </c>
      <c r="E78" s="141" t="s">
        <v>28</v>
      </c>
      <c r="F78" s="141" t="s">
        <v>267</v>
      </c>
      <c r="G78" s="114">
        <v>430722</v>
      </c>
      <c r="H78" s="114" t="s">
        <v>127</v>
      </c>
      <c r="I78" s="141" t="s">
        <v>40</v>
      </c>
      <c r="J78" s="24">
        <f>11.61*2</f>
        <v>23.22</v>
      </c>
      <c r="K78" s="151">
        <v>78</v>
      </c>
      <c r="L78" s="150">
        <f t="shared" si="4"/>
        <v>5</v>
      </c>
      <c r="M78" s="150">
        <v>4.6</v>
      </c>
      <c r="N78" s="152">
        <v>0</v>
      </c>
      <c r="O78" s="150">
        <v>0.4</v>
      </c>
      <c r="P78" s="153">
        <v>0</v>
      </c>
      <c r="Q78" s="152">
        <v>0</v>
      </c>
      <c r="R78" s="157">
        <v>61.7</v>
      </c>
      <c r="S78" s="158">
        <v>11.73</v>
      </c>
      <c r="T78" s="139" t="s">
        <v>32</v>
      </c>
      <c r="U78" s="151">
        <v>0</v>
      </c>
      <c r="V78" s="150">
        <v>0.1</v>
      </c>
    </row>
    <row r="79" spans="1:22" ht="15.75" customHeight="1">
      <c r="A79" s="113">
        <f t="shared" si="5"/>
        <v>74</v>
      </c>
      <c r="B79" s="139" t="s">
        <v>268</v>
      </c>
      <c r="C79" s="140" t="s">
        <v>269</v>
      </c>
      <c r="D79" s="141" t="s">
        <v>27</v>
      </c>
      <c r="E79" s="141" t="s">
        <v>28</v>
      </c>
      <c r="F79" s="141" t="s">
        <v>270</v>
      </c>
      <c r="G79" s="114">
        <v>430722</v>
      </c>
      <c r="H79" s="114" t="s">
        <v>127</v>
      </c>
      <c r="I79" s="141" t="s">
        <v>40</v>
      </c>
      <c r="J79" s="24">
        <f>11.77*2</f>
        <v>23.54</v>
      </c>
      <c r="K79" s="151">
        <v>78.6</v>
      </c>
      <c r="L79" s="150">
        <f t="shared" si="4"/>
        <v>3.9</v>
      </c>
      <c r="M79" s="150">
        <v>3.6</v>
      </c>
      <c r="N79" s="152">
        <v>0</v>
      </c>
      <c r="O79" s="150">
        <v>0.3</v>
      </c>
      <c r="P79" s="153">
        <v>0</v>
      </c>
      <c r="Q79" s="152">
        <v>0</v>
      </c>
      <c r="R79" s="157">
        <v>65.1</v>
      </c>
      <c r="S79" s="158">
        <v>11.77</v>
      </c>
      <c r="T79" s="139" t="s">
        <v>32</v>
      </c>
      <c r="U79" s="151">
        <v>0</v>
      </c>
      <c r="V79" s="150">
        <v>0.3</v>
      </c>
    </row>
    <row r="80" spans="1:22" ht="15.75" customHeight="1">
      <c r="A80" s="113">
        <f t="shared" si="5"/>
        <v>75</v>
      </c>
      <c r="B80" s="139" t="s">
        <v>271</v>
      </c>
      <c r="C80" s="140" t="s">
        <v>272</v>
      </c>
      <c r="D80" s="141" t="s">
        <v>27</v>
      </c>
      <c r="E80" s="141" t="s">
        <v>28</v>
      </c>
      <c r="F80" s="141" t="s">
        <v>273</v>
      </c>
      <c r="G80" s="114">
        <v>430722</v>
      </c>
      <c r="H80" s="114" t="s">
        <v>127</v>
      </c>
      <c r="I80" s="141" t="s">
        <v>40</v>
      </c>
      <c r="J80" s="24">
        <f>11.53*2</f>
        <v>23.06</v>
      </c>
      <c r="K80" s="151">
        <v>78.6</v>
      </c>
      <c r="L80" s="150">
        <f t="shared" si="4"/>
        <v>4.5</v>
      </c>
      <c r="M80" s="150">
        <v>4.1</v>
      </c>
      <c r="N80" s="152">
        <v>0</v>
      </c>
      <c r="O80" s="150">
        <v>0.4</v>
      </c>
      <c r="P80" s="153">
        <v>0</v>
      </c>
      <c r="Q80" s="152">
        <v>0</v>
      </c>
      <c r="R80" s="157">
        <v>66.8</v>
      </c>
      <c r="S80" s="158">
        <v>10.32</v>
      </c>
      <c r="T80" s="139" t="s">
        <v>32</v>
      </c>
      <c r="U80" s="151">
        <v>0</v>
      </c>
      <c r="V80" s="150">
        <v>0.2</v>
      </c>
    </row>
    <row r="81" spans="1:22" ht="15.75" customHeight="1">
      <c r="A81" s="113">
        <f t="shared" si="5"/>
        <v>76</v>
      </c>
      <c r="B81" s="139" t="s">
        <v>274</v>
      </c>
      <c r="C81" s="140" t="s">
        <v>275</v>
      </c>
      <c r="D81" s="141" t="s">
        <v>27</v>
      </c>
      <c r="E81" s="141" t="s">
        <v>28</v>
      </c>
      <c r="F81" s="141" t="s">
        <v>276</v>
      </c>
      <c r="G81" s="114">
        <v>430722</v>
      </c>
      <c r="H81" s="114" t="s">
        <v>127</v>
      </c>
      <c r="I81" s="141" t="s">
        <v>277</v>
      </c>
      <c r="J81" s="24">
        <f>11.75*2</f>
        <v>23.5</v>
      </c>
      <c r="K81" s="151">
        <v>78</v>
      </c>
      <c r="L81" s="150">
        <f t="shared" si="4"/>
        <v>5.2</v>
      </c>
      <c r="M81" s="150">
        <v>4.9</v>
      </c>
      <c r="N81" s="152">
        <v>0</v>
      </c>
      <c r="O81" s="150">
        <v>0.3</v>
      </c>
      <c r="P81" s="153">
        <v>0</v>
      </c>
      <c r="Q81" s="152">
        <v>0</v>
      </c>
      <c r="R81" s="157">
        <v>54.5</v>
      </c>
      <c r="S81" s="158">
        <v>10.9</v>
      </c>
      <c r="T81" s="139" t="s">
        <v>32</v>
      </c>
      <c r="U81" s="151">
        <v>0</v>
      </c>
      <c r="V81" s="150">
        <v>0.3</v>
      </c>
    </row>
    <row r="82" spans="1:22" ht="15.75" customHeight="1">
      <c r="A82" s="113">
        <f t="shared" si="5"/>
        <v>77</v>
      </c>
      <c r="B82" s="139" t="s">
        <v>278</v>
      </c>
      <c r="C82" s="140" t="s">
        <v>279</v>
      </c>
      <c r="D82" s="141" t="s">
        <v>27</v>
      </c>
      <c r="E82" s="141" t="s">
        <v>28</v>
      </c>
      <c r="F82" s="141" t="s">
        <v>280</v>
      </c>
      <c r="G82" s="114">
        <v>430722</v>
      </c>
      <c r="H82" s="114" t="s">
        <v>127</v>
      </c>
      <c r="I82" s="141" t="s">
        <v>64</v>
      </c>
      <c r="J82" s="24">
        <f>12.02*2</f>
        <v>24.04</v>
      </c>
      <c r="K82" s="151">
        <v>77.9</v>
      </c>
      <c r="L82" s="150">
        <f t="shared" si="4"/>
        <v>5</v>
      </c>
      <c r="M82" s="150">
        <v>4.4</v>
      </c>
      <c r="N82" s="152">
        <v>0</v>
      </c>
      <c r="O82" s="150">
        <v>0.6</v>
      </c>
      <c r="P82" s="153">
        <v>0</v>
      </c>
      <c r="Q82" s="152">
        <v>0</v>
      </c>
      <c r="R82" s="157">
        <v>67.8</v>
      </c>
      <c r="S82" s="158">
        <v>10.03</v>
      </c>
      <c r="T82" s="139" t="s">
        <v>32</v>
      </c>
      <c r="U82" s="151">
        <v>0</v>
      </c>
      <c r="V82" s="150">
        <v>0.3</v>
      </c>
    </row>
    <row r="83" spans="1:22" ht="15.75" customHeight="1">
      <c r="A83" s="113">
        <f t="shared" si="5"/>
        <v>78</v>
      </c>
      <c r="B83" s="139" t="s">
        <v>281</v>
      </c>
      <c r="C83" s="140" t="s">
        <v>282</v>
      </c>
      <c r="D83" s="141" t="s">
        <v>27</v>
      </c>
      <c r="E83" s="141" t="s">
        <v>28</v>
      </c>
      <c r="F83" s="141" t="s">
        <v>283</v>
      </c>
      <c r="G83" s="114">
        <v>430703</v>
      </c>
      <c r="H83" s="114" t="s">
        <v>127</v>
      </c>
      <c r="I83" s="141" t="s">
        <v>64</v>
      </c>
      <c r="J83" s="24">
        <f>12.1*2</f>
        <v>24.2</v>
      </c>
      <c r="K83" s="151">
        <v>76.8</v>
      </c>
      <c r="L83" s="150">
        <f t="shared" si="4"/>
        <v>5.8</v>
      </c>
      <c r="M83" s="150">
        <v>5.6</v>
      </c>
      <c r="N83" s="152">
        <v>0</v>
      </c>
      <c r="O83" s="150">
        <v>0.2</v>
      </c>
      <c r="P83" s="153">
        <v>0</v>
      </c>
      <c r="Q83" s="152">
        <v>0</v>
      </c>
      <c r="R83" s="157">
        <v>60.4</v>
      </c>
      <c r="S83" s="158">
        <v>12.62</v>
      </c>
      <c r="T83" s="139" t="s">
        <v>32</v>
      </c>
      <c r="U83" s="151">
        <v>0</v>
      </c>
      <c r="V83" s="150">
        <v>0.2</v>
      </c>
    </row>
    <row r="84" spans="1:22" ht="15.75" customHeight="1">
      <c r="A84" s="113">
        <f t="shared" si="5"/>
        <v>79</v>
      </c>
      <c r="B84" s="139" t="s">
        <v>284</v>
      </c>
      <c r="C84" s="140" t="s">
        <v>285</v>
      </c>
      <c r="D84" s="141" t="s">
        <v>27</v>
      </c>
      <c r="E84" s="141" t="s">
        <v>28</v>
      </c>
      <c r="F84" s="141" t="s">
        <v>286</v>
      </c>
      <c r="G84" s="114">
        <v>430703</v>
      </c>
      <c r="H84" s="114" t="s">
        <v>127</v>
      </c>
      <c r="I84" s="141" t="s">
        <v>167</v>
      </c>
      <c r="J84" s="24">
        <f>11.29*2</f>
        <v>22.58</v>
      </c>
      <c r="K84" s="151">
        <v>77.6</v>
      </c>
      <c r="L84" s="150">
        <f t="shared" si="4"/>
        <v>5</v>
      </c>
      <c r="M84" s="150">
        <v>4.5</v>
      </c>
      <c r="N84" s="152">
        <v>0</v>
      </c>
      <c r="O84" s="150">
        <v>0.2</v>
      </c>
      <c r="P84" s="153">
        <v>0.1</v>
      </c>
      <c r="Q84" s="152">
        <v>0.2</v>
      </c>
      <c r="R84" s="157">
        <v>62.6</v>
      </c>
      <c r="S84" s="158">
        <v>10.89</v>
      </c>
      <c r="T84" s="139" t="s">
        <v>32</v>
      </c>
      <c r="U84" s="151">
        <v>0</v>
      </c>
      <c r="V84" s="150">
        <v>0.1</v>
      </c>
    </row>
    <row r="85" spans="1:22" ht="15.75" customHeight="1">
      <c r="A85" s="113">
        <f t="shared" si="5"/>
        <v>80</v>
      </c>
      <c r="B85" s="139" t="s">
        <v>287</v>
      </c>
      <c r="C85" s="140" t="s">
        <v>288</v>
      </c>
      <c r="D85" s="141" t="s">
        <v>27</v>
      </c>
      <c r="E85" s="141" t="s">
        <v>28</v>
      </c>
      <c r="F85" s="141" t="s">
        <v>289</v>
      </c>
      <c r="G85" s="114">
        <v>430703</v>
      </c>
      <c r="H85" s="114" t="s">
        <v>127</v>
      </c>
      <c r="I85" s="141" t="s">
        <v>64</v>
      </c>
      <c r="J85" s="24">
        <f>14.22*2</f>
        <v>28.44</v>
      </c>
      <c r="K85" s="151">
        <v>78.8</v>
      </c>
      <c r="L85" s="150">
        <f t="shared" si="4"/>
        <v>3.3000000000000003</v>
      </c>
      <c r="M85" s="150">
        <v>2.7</v>
      </c>
      <c r="N85" s="152">
        <v>0</v>
      </c>
      <c r="O85" s="150">
        <v>0.6</v>
      </c>
      <c r="P85" s="153">
        <v>0</v>
      </c>
      <c r="Q85" s="152">
        <v>0</v>
      </c>
      <c r="R85" s="157">
        <v>65.3</v>
      </c>
      <c r="S85" s="158">
        <v>12.37</v>
      </c>
      <c r="T85" s="139" t="s">
        <v>32</v>
      </c>
      <c r="U85" s="151">
        <v>0</v>
      </c>
      <c r="V85" s="150">
        <v>0.1</v>
      </c>
    </row>
    <row r="86" spans="1:22" ht="15.75" customHeight="1">
      <c r="A86" s="113">
        <f t="shared" si="5"/>
        <v>81</v>
      </c>
      <c r="B86" s="139" t="s">
        <v>290</v>
      </c>
      <c r="C86" s="140" t="s">
        <v>291</v>
      </c>
      <c r="D86" s="141" t="s">
        <v>27</v>
      </c>
      <c r="E86" s="141" t="s">
        <v>28</v>
      </c>
      <c r="F86" s="141" t="s">
        <v>292</v>
      </c>
      <c r="G86" s="114">
        <v>430703</v>
      </c>
      <c r="H86" s="114" t="s">
        <v>127</v>
      </c>
      <c r="I86" s="141" t="s">
        <v>64</v>
      </c>
      <c r="J86" s="24">
        <f>11.01*2</f>
        <v>22.02</v>
      </c>
      <c r="K86" s="151">
        <v>76.3</v>
      </c>
      <c r="L86" s="150">
        <f t="shared" si="4"/>
        <v>3.7</v>
      </c>
      <c r="M86" s="150">
        <v>3.5</v>
      </c>
      <c r="N86" s="152">
        <v>0</v>
      </c>
      <c r="O86" s="150">
        <v>0.2</v>
      </c>
      <c r="P86" s="153">
        <v>0</v>
      </c>
      <c r="Q86" s="152">
        <v>0</v>
      </c>
      <c r="R86" s="157">
        <v>59</v>
      </c>
      <c r="S86" s="158">
        <v>11.74</v>
      </c>
      <c r="T86" s="139" t="s">
        <v>32</v>
      </c>
      <c r="U86" s="151">
        <v>0</v>
      </c>
      <c r="V86" s="150">
        <v>0</v>
      </c>
    </row>
    <row r="87" spans="1:22" ht="15.75" customHeight="1">
      <c r="A87" s="113">
        <f t="shared" si="5"/>
        <v>82</v>
      </c>
      <c r="B87" s="139" t="s">
        <v>293</v>
      </c>
      <c r="C87" s="140" t="s">
        <v>294</v>
      </c>
      <c r="D87" s="141" t="s">
        <v>27</v>
      </c>
      <c r="E87" s="141" t="s">
        <v>28</v>
      </c>
      <c r="F87" s="141" t="s">
        <v>295</v>
      </c>
      <c r="G87" s="114">
        <v>430703</v>
      </c>
      <c r="H87" s="114" t="s">
        <v>127</v>
      </c>
      <c r="I87" s="141" t="s">
        <v>64</v>
      </c>
      <c r="J87" s="24">
        <f>11*2</f>
        <v>22</v>
      </c>
      <c r="K87" s="151">
        <v>77.4</v>
      </c>
      <c r="L87" s="150">
        <f t="shared" si="4"/>
        <v>1.8</v>
      </c>
      <c r="M87" s="150">
        <v>1.1</v>
      </c>
      <c r="N87" s="152">
        <v>0</v>
      </c>
      <c r="O87" s="150">
        <v>0.7</v>
      </c>
      <c r="P87" s="153">
        <v>0</v>
      </c>
      <c r="Q87" s="152">
        <v>0</v>
      </c>
      <c r="R87" s="157">
        <v>46.9</v>
      </c>
      <c r="S87" s="158">
        <v>11.09</v>
      </c>
      <c r="T87" s="139" t="s">
        <v>32</v>
      </c>
      <c r="U87" s="151">
        <v>0</v>
      </c>
      <c r="V87" s="150">
        <v>0.8</v>
      </c>
    </row>
    <row r="88" spans="1:22" ht="15.75" customHeight="1">
      <c r="A88" s="113">
        <f t="shared" si="5"/>
        <v>83</v>
      </c>
      <c r="B88" s="139" t="s">
        <v>296</v>
      </c>
      <c r="C88" s="140" t="s">
        <v>297</v>
      </c>
      <c r="D88" s="141" t="s">
        <v>27</v>
      </c>
      <c r="E88" s="141" t="s">
        <v>28</v>
      </c>
      <c r="F88" s="141" t="s">
        <v>298</v>
      </c>
      <c r="G88" s="114">
        <v>430703</v>
      </c>
      <c r="H88" s="114" t="s">
        <v>127</v>
      </c>
      <c r="I88" s="141" t="s">
        <v>167</v>
      </c>
      <c r="J88" s="150">
        <f>11.45*2</f>
        <v>22.9</v>
      </c>
      <c r="K88" s="151">
        <v>76.6</v>
      </c>
      <c r="L88" s="150">
        <f t="shared" si="4"/>
        <v>6</v>
      </c>
      <c r="M88" s="150">
        <v>5.8</v>
      </c>
      <c r="N88" s="152">
        <v>0</v>
      </c>
      <c r="O88" s="150">
        <v>0.2</v>
      </c>
      <c r="P88" s="153">
        <v>0</v>
      </c>
      <c r="Q88" s="152">
        <v>0</v>
      </c>
      <c r="R88" s="157">
        <v>52.1</v>
      </c>
      <c r="S88" s="158">
        <v>10.92</v>
      </c>
      <c r="T88" s="139" t="s">
        <v>32</v>
      </c>
      <c r="U88" s="151">
        <v>0</v>
      </c>
      <c r="V88" s="150">
        <v>0.1</v>
      </c>
    </row>
    <row r="89" spans="1:22" ht="15.75" customHeight="1">
      <c r="A89" s="113">
        <f t="shared" si="5"/>
        <v>84</v>
      </c>
      <c r="B89" s="139" t="s">
        <v>299</v>
      </c>
      <c r="C89" s="140" t="s">
        <v>300</v>
      </c>
      <c r="D89" s="141" t="s">
        <v>27</v>
      </c>
      <c r="E89" s="141" t="s">
        <v>28</v>
      </c>
      <c r="F89" s="141" t="s">
        <v>301</v>
      </c>
      <c r="G89" s="114">
        <v>430703</v>
      </c>
      <c r="H89" s="114" t="s">
        <v>127</v>
      </c>
      <c r="I89" s="141" t="s">
        <v>64</v>
      </c>
      <c r="J89" s="150">
        <f>11.46*2</f>
        <v>22.92</v>
      </c>
      <c r="K89" s="151">
        <v>78.7</v>
      </c>
      <c r="L89" s="150">
        <f t="shared" si="4"/>
        <v>2</v>
      </c>
      <c r="M89" s="150">
        <v>1.6</v>
      </c>
      <c r="N89" s="152">
        <v>0</v>
      </c>
      <c r="O89" s="150">
        <v>0.4</v>
      </c>
      <c r="P89" s="153">
        <v>0</v>
      </c>
      <c r="Q89" s="152">
        <v>0</v>
      </c>
      <c r="R89" s="157">
        <v>60.6</v>
      </c>
      <c r="S89" s="158">
        <v>11.73</v>
      </c>
      <c r="T89" s="139" t="s">
        <v>32</v>
      </c>
      <c r="U89" s="151">
        <v>0</v>
      </c>
      <c r="V89" s="150">
        <v>0</v>
      </c>
    </row>
    <row r="90" spans="1:22" ht="15.75" customHeight="1">
      <c r="A90" s="113">
        <f t="shared" si="5"/>
        <v>85</v>
      </c>
      <c r="B90" s="139" t="s">
        <v>302</v>
      </c>
      <c r="C90" s="140" t="s">
        <v>303</v>
      </c>
      <c r="D90" s="141" t="s">
        <v>27</v>
      </c>
      <c r="E90" s="141" t="s">
        <v>28</v>
      </c>
      <c r="F90" s="141" t="s">
        <v>304</v>
      </c>
      <c r="G90" s="114">
        <v>430724</v>
      </c>
      <c r="H90" s="114" t="s">
        <v>30</v>
      </c>
      <c r="I90" s="141" t="s">
        <v>167</v>
      </c>
      <c r="J90" s="150">
        <f>12.14*2</f>
        <v>24.28</v>
      </c>
      <c r="K90" s="151">
        <v>78.4</v>
      </c>
      <c r="L90" s="150">
        <f t="shared" si="4"/>
        <v>1.7000000000000002</v>
      </c>
      <c r="M90" s="150">
        <v>0.9</v>
      </c>
      <c r="N90" s="152">
        <v>0</v>
      </c>
      <c r="O90" s="150">
        <v>0.8</v>
      </c>
      <c r="P90" s="153">
        <v>0</v>
      </c>
      <c r="Q90" s="152">
        <v>0</v>
      </c>
      <c r="R90" s="157">
        <v>51.9</v>
      </c>
      <c r="S90" s="158">
        <v>12.27</v>
      </c>
      <c r="T90" s="139" t="s">
        <v>32</v>
      </c>
      <c r="U90" s="151">
        <v>0</v>
      </c>
      <c r="V90" s="150">
        <v>0.1</v>
      </c>
    </row>
    <row r="91" spans="1:22" ht="15.75" customHeight="1">
      <c r="A91" s="113">
        <f t="shared" si="5"/>
        <v>86</v>
      </c>
      <c r="B91" s="139" t="s">
        <v>305</v>
      </c>
      <c r="C91" s="140" t="s">
        <v>306</v>
      </c>
      <c r="D91" s="141" t="s">
        <v>27</v>
      </c>
      <c r="E91" s="141" t="s">
        <v>28</v>
      </c>
      <c r="F91" s="141" t="s">
        <v>307</v>
      </c>
      <c r="G91" s="114">
        <v>430724</v>
      </c>
      <c r="H91" s="114" t="s">
        <v>30</v>
      </c>
      <c r="I91" s="141" t="s">
        <v>119</v>
      </c>
      <c r="J91" s="150">
        <f>11.91*2</f>
        <v>23.82</v>
      </c>
      <c r="K91" s="151">
        <v>79.4</v>
      </c>
      <c r="L91" s="150">
        <f t="shared" si="4"/>
        <v>3.3</v>
      </c>
      <c r="M91" s="150">
        <v>1.4</v>
      </c>
      <c r="N91" s="152">
        <v>0</v>
      </c>
      <c r="O91" s="150">
        <v>1.6</v>
      </c>
      <c r="P91" s="153">
        <v>0.3</v>
      </c>
      <c r="Q91" s="152">
        <v>0</v>
      </c>
      <c r="R91" s="157">
        <v>47.6</v>
      </c>
      <c r="S91" s="158">
        <v>12.23</v>
      </c>
      <c r="T91" s="139" t="s">
        <v>32</v>
      </c>
      <c r="U91" s="151">
        <v>0</v>
      </c>
      <c r="V91" s="150">
        <v>1.7</v>
      </c>
    </row>
    <row r="92" spans="1:22" ht="15.75" customHeight="1">
      <c r="A92" s="113">
        <f t="shared" si="5"/>
        <v>87</v>
      </c>
      <c r="B92" s="139" t="s">
        <v>308</v>
      </c>
      <c r="C92" s="140" t="s">
        <v>309</v>
      </c>
      <c r="D92" s="141" t="s">
        <v>27</v>
      </c>
      <c r="E92" s="141" t="s">
        <v>28</v>
      </c>
      <c r="F92" s="141" t="s">
        <v>310</v>
      </c>
      <c r="G92" s="114">
        <v>430724</v>
      </c>
      <c r="H92" s="114" t="s">
        <v>30</v>
      </c>
      <c r="I92" s="141" t="s">
        <v>40</v>
      </c>
      <c r="J92" s="150">
        <f>12.02*2</f>
        <v>24.04</v>
      </c>
      <c r="K92" s="151">
        <v>79.2</v>
      </c>
      <c r="L92" s="150">
        <f t="shared" si="4"/>
        <v>2.8</v>
      </c>
      <c r="M92" s="150">
        <v>1.6</v>
      </c>
      <c r="N92" s="152">
        <v>0</v>
      </c>
      <c r="O92" s="150">
        <v>1.2</v>
      </c>
      <c r="P92" s="153">
        <v>0</v>
      </c>
      <c r="Q92" s="152">
        <v>0</v>
      </c>
      <c r="R92" s="157">
        <v>57</v>
      </c>
      <c r="S92" s="158">
        <v>11.86</v>
      </c>
      <c r="T92" s="139" t="s">
        <v>32</v>
      </c>
      <c r="U92" s="151">
        <v>0</v>
      </c>
      <c r="V92" s="150">
        <v>1.6</v>
      </c>
    </row>
    <row r="93" spans="1:22" ht="15.75" customHeight="1">
      <c r="A93" s="113">
        <f t="shared" si="5"/>
        <v>88</v>
      </c>
      <c r="B93" s="139" t="s">
        <v>311</v>
      </c>
      <c r="C93" s="140" t="s">
        <v>312</v>
      </c>
      <c r="D93" s="141" t="s">
        <v>27</v>
      </c>
      <c r="E93" s="141" t="s">
        <v>28</v>
      </c>
      <c r="F93" s="141" t="s">
        <v>313</v>
      </c>
      <c r="G93" s="114">
        <v>430724</v>
      </c>
      <c r="H93" s="114" t="s">
        <v>30</v>
      </c>
      <c r="I93" s="141" t="s">
        <v>57</v>
      </c>
      <c r="J93" s="150">
        <f>12.86*2</f>
        <v>25.72</v>
      </c>
      <c r="K93" s="151">
        <v>76.8</v>
      </c>
      <c r="L93" s="150">
        <f t="shared" si="4"/>
        <v>2.5</v>
      </c>
      <c r="M93" s="150">
        <v>2.2</v>
      </c>
      <c r="N93" s="152">
        <v>0</v>
      </c>
      <c r="O93" s="150">
        <v>0.3</v>
      </c>
      <c r="P93" s="153">
        <v>0</v>
      </c>
      <c r="Q93" s="152">
        <v>0</v>
      </c>
      <c r="R93" s="157">
        <v>53.5</v>
      </c>
      <c r="S93" s="158">
        <v>12.59</v>
      </c>
      <c r="T93" s="139" t="s">
        <v>32</v>
      </c>
      <c r="U93" s="151">
        <v>0</v>
      </c>
      <c r="V93" s="150">
        <v>0.1</v>
      </c>
    </row>
    <row r="94" spans="1:22" ht="15.75" customHeight="1">
      <c r="A94" s="113">
        <f t="shared" si="5"/>
        <v>89</v>
      </c>
      <c r="B94" s="139" t="s">
        <v>314</v>
      </c>
      <c r="C94" s="140" t="s">
        <v>315</v>
      </c>
      <c r="D94" s="141" t="s">
        <v>27</v>
      </c>
      <c r="E94" s="141" t="s">
        <v>28</v>
      </c>
      <c r="F94" s="141" t="s">
        <v>316</v>
      </c>
      <c r="G94" s="114">
        <v>430724</v>
      </c>
      <c r="H94" s="114" t="s">
        <v>30</v>
      </c>
      <c r="I94" s="141" t="s">
        <v>119</v>
      </c>
      <c r="J94" s="150">
        <f>11.32*2</f>
        <v>22.64</v>
      </c>
      <c r="K94" s="151">
        <v>78.3</v>
      </c>
      <c r="L94" s="150">
        <f t="shared" si="4"/>
        <v>2</v>
      </c>
      <c r="M94" s="150">
        <v>1.8</v>
      </c>
      <c r="N94" s="152">
        <v>0</v>
      </c>
      <c r="O94" s="150">
        <v>0.1</v>
      </c>
      <c r="P94" s="153">
        <v>0.1</v>
      </c>
      <c r="Q94" s="152">
        <v>0</v>
      </c>
      <c r="R94" s="157">
        <v>54.9</v>
      </c>
      <c r="S94" s="158">
        <v>11.88</v>
      </c>
      <c r="T94" s="139" t="s">
        <v>32</v>
      </c>
      <c r="U94" s="151">
        <v>0</v>
      </c>
      <c r="V94" s="150">
        <v>0.6</v>
      </c>
    </row>
    <row r="95" spans="1:22" ht="15.75" customHeight="1">
      <c r="A95" s="113">
        <f t="shared" si="5"/>
        <v>90</v>
      </c>
      <c r="B95" s="139" t="s">
        <v>317</v>
      </c>
      <c r="C95" s="140" t="s">
        <v>318</v>
      </c>
      <c r="D95" s="141" t="s">
        <v>27</v>
      </c>
      <c r="E95" s="141" t="s">
        <v>28</v>
      </c>
      <c r="F95" s="141" t="s">
        <v>319</v>
      </c>
      <c r="G95" s="114">
        <v>430724</v>
      </c>
      <c r="H95" s="114" t="s">
        <v>30</v>
      </c>
      <c r="I95" s="141" t="s">
        <v>119</v>
      </c>
      <c r="J95" s="150">
        <f>11.7*2</f>
        <v>23.4</v>
      </c>
      <c r="K95" s="151">
        <v>79.5</v>
      </c>
      <c r="L95" s="150">
        <f t="shared" si="4"/>
        <v>1.9000000000000001</v>
      </c>
      <c r="M95" s="150">
        <v>0.8</v>
      </c>
      <c r="N95" s="152">
        <v>0</v>
      </c>
      <c r="O95" s="150">
        <v>0.8</v>
      </c>
      <c r="P95" s="153">
        <v>0.3</v>
      </c>
      <c r="Q95" s="152">
        <v>0</v>
      </c>
      <c r="R95" s="157">
        <v>65.6</v>
      </c>
      <c r="S95" s="158">
        <v>12.4</v>
      </c>
      <c r="T95" s="139" t="s">
        <v>32</v>
      </c>
      <c r="U95" s="151">
        <v>0</v>
      </c>
      <c r="V95" s="150">
        <v>0.4</v>
      </c>
    </row>
    <row r="96" spans="1:22" ht="15.75" customHeight="1">
      <c r="A96" s="113">
        <f t="shared" si="5"/>
        <v>91</v>
      </c>
      <c r="B96" s="139" t="s">
        <v>320</v>
      </c>
      <c r="C96" s="140" t="s">
        <v>321</v>
      </c>
      <c r="D96" s="141" t="s">
        <v>27</v>
      </c>
      <c r="E96" s="141" t="s">
        <v>28</v>
      </c>
      <c r="F96" s="141" t="s">
        <v>322</v>
      </c>
      <c r="G96" s="114">
        <v>430724</v>
      </c>
      <c r="H96" s="114" t="s">
        <v>30</v>
      </c>
      <c r="I96" s="141" t="s">
        <v>57</v>
      </c>
      <c r="J96" s="150">
        <f>12.72*2</f>
        <v>25.44</v>
      </c>
      <c r="K96" s="151">
        <v>79.1</v>
      </c>
      <c r="L96" s="150">
        <f t="shared" si="4"/>
        <v>1.3</v>
      </c>
      <c r="M96" s="150">
        <v>0.8</v>
      </c>
      <c r="N96" s="152">
        <v>0</v>
      </c>
      <c r="O96" s="150">
        <v>0.5</v>
      </c>
      <c r="P96" s="153">
        <v>0</v>
      </c>
      <c r="Q96" s="152">
        <v>0</v>
      </c>
      <c r="R96" s="157">
        <v>66.7</v>
      </c>
      <c r="S96" s="158">
        <v>13.1</v>
      </c>
      <c r="T96" s="139" t="s">
        <v>32</v>
      </c>
      <c r="U96" s="151">
        <v>0</v>
      </c>
      <c r="V96" s="150">
        <v>0.2</v>
      </c>
    </row>
    <row r="97" spans="1:22" ht="15.75" customHeight="1">
      <c r="A97" s="113">
        <f t="shared" si="5"/>
        <v>92</v>
      </c>
      <c r="B97" s="139" t="s">
        <v>323</v>
      </c>
      <c r="C97" s="140" t="s">
        <v>324</v>
      </c>
      <c r="D97" s="141" t="s">
        <v>27</v>
      </c>
      <c r="E97" s="141" t="s">
        <v>28</v>
      </c>
      <c r="F97" s="141" t="s">
        <v>325</v>
      </c>
      <c r="G97" s="114">
        <v>430724</v>
      </c>
      <c r="H97" s="114" t="s">
        <v>30</v>
      </c>
      <c r="I97" s="141" t="s">
        <v>326</v>
      </c>
      <c r="J97" s="150">
        <f>12.15*2</f>
        <v>24.3</v>
      </c>
      <c r="K97" s="151">
        <v>79.7</v>
      </c>
      <c r="L97" s="150">
        <f t="shared" si="4"/>
        <v>1.3</v>
      </c>
      <c r="M97" s="150">
        <v>0.4</v>
      </c>
      <c r="N97" s="152">
        <v>0</v>
      </c>
      <c r="O97" s="150">
        <v>0.7</v>
      </c>
      <c r="P97" s="153">
        <v>0.2</v>
      </c>
      <c r="Q97" s="152">
        <v>0</v>
      </c>
      <c r="R97" s="157">
        <v>53.2</v>
      </c>
      <c r="S97" s="158">
        <v>13.1</v>
      </c>
      <c r="T97" s="139" t="s">
        <v>32</v>
      </c>
      <c r="U97" s="151">
        <v>0</v>
      </c>
      <c r="V97" s="150">
        <v>1.5</v>
      </c>
    </row>
    <row r="98" spans="1:22" ht="15.75" customHeight="1">
      <c r="A98" s="113">
        <f t="shared" si="5"/>
        <v>93</v>
      </c>
      <c r="B98" s="139" t="s">
        <v>327</v>
      </c>
      <c r="C98" s="140" t="s">
        <v>328</v>
      </c>
      <c r="D98" s="141" t="s">
        <v>27</v>
      </c>
      <c r="E98" s="141" t="s">
        <v>28</v>
      </c>
      <c r="F98" s="141" t="s">
        <v>329</v>
      </c>
      <c r="G98" s="114">
        <v>430724</v>
      </c>
      <c r="H98" s="114" t="s">
        <v>30</v>
      </c>
      <c r="I98" s="141" t="s">
        <v>40</v>
      </c>
      <c r="J98" s="150">
        <f>12.41*2</f>
        <v>24.82</v>
      </c>
      <c r="K98" s="151">
        <v>77.4</v>
      </c>
      <c r="L98" s="150">
        <f t="shared" si="4"/>
        <v>3.3</v>
      </c>
      <c r="M98" s="150">
        <v>2.8</v>
      </c>
      <c r="N98" s="152">
        <v>0</v>
      </c>
      <c r="O98" s="150">
        <v>0.5</v>
      </c>
      <c r="P98" s="153">
        <v>0</v>
      </c>
      <c r="Q98" s="152">
        <v>0</v>
      </c>
      <c r="R98" s="157">
        <v>57.1</v>
      </c>
      <c r="S98" s="158">
        <v>12.28</v>
      </c>
      <c r="T98" s="139" t="s">
        <v>32</v>
      </c>
      <c r="U98" s="151">
        <v>0</v>
      </c>
      <c r="V98" s="150">
        <v>0.1</v>
      </c>
    </row>
    <row r="99" spans="1:22" ht="15.75" customHeight="1">
      <c r="A99" s="113">
        <f t="shared" si="5"/>
        <v>94</v>
      </c>
      <c r="B99" s="139" t="s">
        <v>330</v>
      </c>
      <c r="C99" s="140" t="s">
        <v>331</v>
      </c>
      <c r="D99" s="141" t="s">
        <v>27</v>
      </c>
      <c r="E99" s="141" t="s">
        <v>28</v>
      </c>
      <c r="F99" s="141" t="s">
        <v>332</v>
      </c>
      <c r="G99" s="114">
        <v>430724</v>
      </c>
      <c r="H99" s="114" t="s">
        <v>30</v>
      </c>
      <c r="I99" s="141" t="s">
        <v>119</v>
      </c>
      <c r="J99" s="150">
        <f>12.12*2</f>
        <v>24.24</v>
      </c>
      <c r="K99" s="151">
        <v>77.9</v>
      </c>
      <c r="L99" s="150">
        <f t="shared" si="4"/>
        <v>4.3999999999999995</v>
      </c>
      <c r="M99" s="150">
        <v>3.4</v>
      </c>
      <c r="N99" s="152">
        <v>0</v>
      </c>
      <c r="O99" s="150">
        <v>0.8</v>
      </c>
      <c r="P99" s="153">
        <v>0.1</v>
      </c>
      <c r="Q99" s="152">
        <v>0.1</v>
      </c>
      <c r="R99" s="157">
        <v>68.1</v>
      </c>
      <c r="S99" s="158">
        <v>12.72</v>
      </c>
      <c r="T99" s="139" t="s">
        <v>32</v>
      </c>
      <c r="U99" s="151">
        <v>0</v>
      </c>
      <c r="V99" s="150">
        <v>0.2</v>
      </c>
    </row>
    <row r="100" spans="1:22" ht="15.75" customHeight="1">
      <c r="A100" s="113">
        <f t="shared" si="5"/>
        <v>95</v>
      </c>
      <c r="B100" s="139" t="s">
        <v>333</v>
      </c>
      <c r="C100" s="140" t="s">
        <v>334</v>
      </c>
      <c r="D100" s="141" t="s">
        <v>27</v>
      </c>
      <c r="E100" s="141" t="s">
        <v>28</v>
      </c>
      <c r="F100" s="141" t="s">
        <v>335</v>
      </c>
      <c r="G100" s="114">
        <v>430724</v>
      </c>
      <c r="H100" s="114" t="s">
        <v>30</v>
      </c>
      <c r="I100" s="141" t="s">
        <v>40</v>
      </c>
      <c r="J100" s="150">
        <f>12.87*2</f>
        <v>25.74</v>
      </c>
      <c r="K100" s="151">
        <v>78.1</v>
      </c>
      <c r="L100" s="150">
        <f t="shared" si="4"/>
        <v>3.3</v>
      </c>
      <c r="M100" s="150">
        <v>2.1</v>
      </c>
      <c r="N100" s="152">
        <v>0</v>
      </c>
      <c r="O100" s="150">
        <v>1.2</v>
      </c>
      <c r="P100" s="153">
        <v>0</v>
      </c>
      <c r="Q100" s="152">
        <v>0</v>
      </c>
      <c r="R100" s="157">
        <v>61.5</v>
      </c>
      <c r="S100" s="158">
        <v>13.36</v>
      </c>
      <c r="T100" s="139" t="s">
        <v>32</v>
      </c>
      <c r="U100" s="151">
        <v>0</v>
      </c>
      <c r="V100" s="150">
        <v>0</v>
      </c>
    </row>
    <row r="101" spans="1:22" ht="15.75" customHeight="1">
      <c r="A101" s="113">
        <f t="shared" si="5"/>
        <v>96</v>
      </c>
      <c r="B101" s="139" t="s">
        <v>336</v>
      </c>
      <c r="C101" s="140" t="s">
        <v>337</v>
      </c>
      <c r="D101" s="141" t="s">
        <v>27</v>
      </c>
      <c r="E101" s="141" t="s">
        <v>28</v>
      </c>
      <c r="F101" s="141" t="s">
        <v>338</v>
      </c>
      <c r="G101" s="114">
        <v>430724</v>
      </c>
      <c r="H101" s="114" t="s">
        <v>30</v>
      </c>
      <c r="I101" s="141" t="s">
        <v>174</v>
      </c>
      <c r="J101" s="150">
        <f>11.19*2</f>
        <v>22.38</v>
      </c>
      <c r="K101" s="151">
        <v>76.4</v>
      </c>
      <c r="L101" s="150">
        <f t="shared" si="4"/>
        <v>5.7</v>
      </c>
      <c r="M101" s="150">
        <v>5.4</v>
      </c>
      <c r="N101" s="152">
        <v>0</v>
      </c>
      <c r="O101" s="150">
        <v>0.3</v>
      </c>
      <c r="P101" s="153">
        <v>0</v>
      </c>
      <c r="Q101" s="152">
        <v>0</v>
      </c>
      <c r="R101" s="157">
        <v>57.6</v>
      </c>
      <c r="S101" s="158">
        <v>11.41</v>
      </c>
      <c r="T101" s="139" t="s">
        <v>32</v>
      </c>
      <c r="U101" s="151">
        <v>0</v>
      </c>
      <c r="V101" s="150">
        <v>0.1</v>
      </c>
    </row>
    <row r="102" spans="1:22" ht="15.75" customHeight="1">
      <c r="A102" s="113">
        <f t="shared" si="5"/>
        <v>97</v>
      </c>
      <c r="B102" s="139" t="s">
        <v>339</v>
      </c>
      <c r="C102" s="140" t="s">
        <v>340</v>
      </c>
      <c r="D102" s="141" t="s">
        <v>27</v>
      </c>
      <c r="E102" s="141" t="s">
        <v>28</v>
      </c>
      <c r="F102" s="141" t="s">
        <v>341</v>
      </c>
      <c r="G102" s="114">
        <v>430726</v>
      </c>
      <c r="H102" s="114" t="s">
        <v>30</v>
      </c>
      <c r="I102" s="141" t="s">
        <v>167</v>
      </c>
      <c r="J102" s="150">
        <f>13.76*2</f>
        <v>27.52</v>
      </c>
      <c r="K102" s="151">
        <v>80.1</v>
      </c>
      <c r="L102" s="150">
        <f t="shared" si="4"/>
        <v>2.2</v>
      </c>
      <c r="M102" s="150">
        <v>1.5</v>
      </c>
      <c r="N102" s="152">
        <v>0</v>
      </c>
      <c r="O102" s="150">
        <v>0.7</v>
      </c>
      <c r="P102" s="153">
        <v>0</v>
      </c>
      <c r="Q102" s="152">
        <v>0</v>
      </c>
      <c r="R102" s="157">
        <v>61.1</v>
      </c>
      <c r="S102" s="158">
        <v>13.19</v>
      </c>
      <c r="T102" s="139" t="s">
        <v>32</v>
      </c>
      <c r="U102" s="151">
        <v>0</v>
      </c>
      <c r="V102" s="150">
        <v>0.1</v>
      </c>
    </row>
    <row r="103" spans="1:22" ht="15.75" customHeight="1">
      <c r="A103" s="113">
        <f t="shared" si="5"/>
        <v>98</v>
      </c>
      <c r="B103" s="139" t="s">
        <v>342</v>
      </c>
      <c r="C103" s="140" t="s">
        <v>343</v>
      </c>
      <c r="D103" s="141" t="s">
        <v>27</v>
      </c>
      <c r="E103" s="141" t="s">
        <v>28</v>
      </c>
      <c r="F103" s="141" t="s">
        <v>344</v>
      </c>
      <c r="G103" s="114">
        <v>430726</v>
      </c>
      <c r="H103" s="114" t="s">
        <v>30</v>
      </c>
      <c r="I103" s="141" t="s">
        <v>345</v>
      </c>
      <c r="J103" s="150">
        <f>13.22*2</f>
        <v>26.44</v>
      </c>
      <c r="K103" s="151">
        <v>74.9</v>
      </c>
      <c r="L103" s="150">
        <f t="shared" si="4"/>
        <v>8.2</v>
      </c>
      <c r="M103" s="150">
        <v>6.1</v>
      </c>
      <c r="N103" s="152">
        <v>0</v>
      </c>
      <c r="O103" s="150">
        <v>1.9</v>
      </c>
      <c r="P103" s="153">
        <v>0.2</v>
      </c>
      <c r="Q103" s="152">
        <v>0</v>
      </c>
      <c r="R103" s="157">
        <v>50.3</v>
      </c>
      <c r="S103" s="158">
        <v>12.12</v>
      </c>
      <c r="T103" s="139" t="s">
        <v>32</v>
      </c>
      <c r="U103" s="151">
        <v>0</v>
      </c>
      <c r="V103" s="150">
        <v>0.2</v>
      </c>
    </row>
    <row r="104" spans="1:22" ht="15.75" customHeight="1">
      <c r="A104" s="113">
        <f t="shared" si="5"/>
        <v>99</v>
      </c>
      <c r="B104" s="139" t="s">
        <v>346</v>
      </c>
      <c r="C104" s="140" t="s">
        <v>347</v>
      </c>
      <c r="D104" s="141" t="s">
        <v>27</v>
      </c>
      <c r="E104" s="141" t="s">
        <v>28</v>
      </c>
      <c r="F104" s="141" t="s">
        <v>348</v>
      </c>
      <c r="G104" s="114">
        <v>430771</v>
      </c>
      <c r="H104" s="114" t="s">
        <v>127</v>
      </c>
      <c r="I104" s="141" t="s">
        <v>349</v>
      </c>
      <c r="J104" s="150">
        <f>11.34*2</f>
        <v>22.68</v>
      </c>
      <c r="K104" s="151">
        <v>78</v>
      </c>
      <c r="L104" s="150">
        <f t="shared" si="4"/>
        <v>4</v>
      </c>
      <c r="M104" s="150">
        <v>3.5</v>
      </c>
      <c r="N104" s="152">
        <v>0</v>
      </c>
      <c r="O104" s="150">
        <v>0.5</v>
      </c>
      <c r="P104" s="153">
        <v>0</v>
      </c>
      <c r="Q104" s="152">
        <v>0</v>
      </c>
      <c r="R104" s="157">
        <v>59.5</v>
      </c>
      <c r="S104" s="158">
        <v>11.85</v>
      </c>
      <c r="T104" s="139" t="s">
        <v>32</v>
      </c>
      <c r="U104" s="151">
        <v>0</v>
      </c>
      <c r="V104" s="150">
        <v>0.7</v>
      </c>
    </row>
    <row r="105" spans="1:22" ht="15.75" customHeight="1">
      <c r="A105" s="113">
        <f t="shared" si="5"/>
        <v>100</v>
      </c>
      <c r="B105" s="139" t="s">
        <v>350</v>
      </c>
      <c r="C105" s="140" t="s">
        <v>351</v>
      </c>
      <c r="D105" s="141" t="s">
        <v>27</v>
      </c>
      <c r="E105" s="141" t="s">
        <v>28</v>
      </c>
      <c r="F105" s="141" t="s">
        <v>348</v>
      </c>
      <c r="G105" s="114">
        <v>430771</v>
      </c>
      <c r="H105" s="114" t="s">
        <v>127</v>
      </c>
      <c r="I105" s="141" t="s">
        <v>349</v>
      </c>
      <c r="J105" s="150">
        <f>11.49*2</f>
        <v>22.98</v>
      </c>
      <c r="K105" s="151">
        <v>79.4</v>
      </c>
      <c r="L105" s="150">
        <f t="shared" si="4"/>
        <v>0.8999999999999999</v>
      </c>
      <c r="M105" s="150">
        <v>0.6</v>
      </c>
      <c r="N105" s="152">
        <v>0</v>
      </c>
      <c r="O105" s="150">
        <v>0.3</v>
      </c>
      <c r="P105" s="153">
        <v>0</v>
      </c>
      <c r="Q105" s="152">
        <v>0</v>
      </c>
      <c r="R105" s="157">
        <v>55.7</v>
      </c>
      <c r="S105" s="158">
        <v>11.92</v>
      </c>
      <c r="T105" s="139" t="s">
        <v>32</v>
      </c>
      <c r="U105" s="151">
        <v>0</v>
      </c>
      <c r="V105" s="150">
        <v>0.1</v>
      </c>
    </row>
    <row r="106" spans="1:22" ht="15.75" customHeight="1">
      <c r="A106" s="113">
        <f t="shared" si="5"/>
        <v>101</v>
      </c>
      <c r="B106" s="139" t="s">
        <v>352</v>
      </c>
      <c r="C106" s="140" t="s">
        <v>353</v>
      </c>
      <c r="D106" s="141" t="s">
        <v>27</v>
      </c>
      <c r="E106" s="141" t="s">
        <v>28</v>
      </c>
      <c r="F106" s="141" t="s">
        <v>354</v>
      </c>
      <c r="G106" s="114">
        <v>430771</v>
      </c>
      <c r="H106" s="114" t="s">
        <v>127</v>
      </c>
      <c r="I106" s="141" t="s">
        <v>355</v>
      </c>
      <c r="J106" s="150">
        <f>11.39*2</f>
        <v>22.78</v>
      </c>
      <c r="K106" s="151">
        <v>78.5</v>
      </c>
      <c r="L106" s="150">
        <f t="shared" si="4"/>
        <v>2.2</v>
      </c>
      <c r="M106" s="150">
        <v>1.3</v>
      </c>
      <c r="N106" s="152">
        <v>0</v>
      </c>
      <c r="O106" s="150">
        <v>0.9</v>
      </c>
      <c r="P106" s="153">
        <v>0</v>
      </c>
      <c r="Q106" s="152">
        <v>0</v>
      </c>
      <c r="R106" s="157">
        <v>55.4</v>
      </c>
      <c r="S106" s="158">
        <v>12.08</v>
      </c>
      <c r="T106" s="139" t="s">
        <v>32</v>
      </c>
      <c r="U106" s="151">
        <v>0</v>
      </c>
      <c r="V106" s="150">
        <v>0.9</v>
      </c>
    </row>
    <row r="107" spans="1:22" ht="15.75" customHeight="1">
      <c r="A107" s="113">
        <f t="shared" si="5"/>
        <v>102</v>
      </c>
      <c r="B107" s="139" t="s">
        <v>356</v>
      </c>
      <c r="C107" s="140" t="s">
        <v>357</v>
      </c>
      <c r="D107" s="141" t="s">
        <v>27</v>
      </c>
      <c r="E107" s="141" t="s">
        <v>28</v>
      </c>
      <c r="F107" s="141" t="s">
        <v>358</v>
      </c>
      <c r="G107" s="114">
        <v>430771</v>
      </c>
      <c r="H107" s="114" t="s">
        <v>127</v>
      </c>
      <c r="I107" s="141" t="s">
        <v>359</v>
      </c>
      <c r="J107" s="150">
        <f>11.65*2</f>
        <v>23.3</v>
      </c>
      <c r="K107" s="151">
        <v>78.8</v>
      </c>
      <c r="L107" s="150">
        <f t="shared" si="4"/>
        <v>1.7</v>
      </c>
      <c r="M107" s="150">
        <v>1.2</v>
      </c>
      <c r="N107" s="152">
        <v>0</v>
      </c>
      <c r="O107" s="150">
        <v>0.5</v>
      </c>
      <c r="P107" s="153">
        <v>0</v>
      </c>
      <c r="Q107" s="152">
        <v>0</v>
      </c>
      <c r="R107" s="157">
        <v>57.5</v>
      </c>
      <c r="S107" s="158">
        <v>11.9</v>
      </c>
      <c r="T107" s="139" t="s">
        <v>32</v>
      </c>
      <c r="U107" s="151">
        <v>0</v>
      </c>
      <c r="V107" s="150">
        <v>0.7</v>
      </c>
    </row>
    <row r="108" spans="1:22" ht="15.75" customHeight="1">
      <c r="A108" s="113">
        <f t="shared" si="5"/>
        <v>103</v>
      </c>
      <c r="B108" s="139" t="s">
        <v>360</v>
      </c>
      <c r="C108" s="140" t="s">
        <v>361</v>
      </c>
      <c r="D108" s="141" t="s">
        <v>27</v>
      </c>
      <c r="E108" s="141" t="s">
        <v>28</v>
      </c>
      <c r="F108" s="141" t="s">
        <v>362</v>
      </c>
      <c r="G108" s="114">
        <v>430726</v>
      </c>
      <c r="H108" s="114" t="s">
        <v>30</v>
      </c>
      <c r="I108" s="141" t="s">
        <v>363</v>
      </c>
      <c r="J108" s="150">
        <f>14.06*2</f>
        <v>28.12</v>
      </c>
      <c r="K108" s="151">
        <v>74.1</v>
      </c>
      <c r="L108" s="150">
        <f t="shared" si="4"/>
        <v>9.2</v>
      </c>
      <c r="M108" s="150">
        <v>5</v>
      </c>
      <c r="N108" s="152">
        <v>0</v>
      </c>
      <c r="O108" s="150">
        <v>0.7</v>
      </c>
      <c r="P108" s="153">
        <v>3.5</v>
      </c>
      <c r="Q108" s="152">
        <v>0</v>
      </c>
      <c r="R108" s="157">
        <v>51.3</v>
      </c>
      <c r="S108" s="158">
        <v>12.11</v>
      </c>
      <c r="T108" s="139" t="s">
        <v>32</v>
      </c>
      <c r="U108" s="151">
        <v>0</v>
      </c>
      <c r="V108" s="150">
        <v>0.2</v>
      </c>
    </row>
    <row r="109" spans="1:22" ht="15.75" customHeight="1">
      <c r="A109" s="113">
        <f t="shared" si="5"/>
        <v>104</v>
      </c>
      <c r="B109" s="139" t="s">
        <v>364</v>
      </c>
      <c r="C109" s="140" t="s">
        <v>365</v>
      </c>
      <c r="D109" s="141" t="s">
        <v>27</v>
      </c>
      <c r="E109" s="141" t="s">
        <v>28</v>
      </c>
      <c r="F109" s="141" t="s">
        <v>366</v>
      </c>
      <c r="G109" s="114">
        <v>430726</v>
      </c>
      <c r="H109" s="114" t="s">
        <v>30</v>
      </c>
      <c r="I109" s="141" t="s">
        <v>367</v>
      </c>
      <c r="J109" s="150">
        <f>13.74*2</f>
        <v>27.48</v>
      </c>
      <c r="K109" s="151">
        <v>75.9</v>
      </c>
      <c r="L109" s="150">
        <f t="shared" si="4"/>
        <v>6</v>
      </c>
      <c r="M109" s="150">
        <v>3.3</v>
      </c>
      <c r="N109" s="152">
        <v>0</v>
      </c>
      <c r="O109" s="150">
        <v>2.1</v>
      </c>
      <c r="P109" s="153">
        <v>0.6</v>
      </c>
      <c r="Q109" s="152">
        <v>0</v>
      </c>
      <c r="R109" s="157">
        <v>50.7</v>
      </c>
      <c r="S109" s="158">
        <v>12.46</v>
      </c>
      <c r="T109" s="139" t="s">
        <v>32</v>
      </c>
      <c r="U109" s="151">
        <v>0</v>
      </c>
      <c r="V109" s="150">
        <v>0.1</v>
      </c>
    </row>
    <row r="110" spans="1:22" ht="15.75" customHeight="1">
      <c r="A110" s="113">
        <f t="shared" si="5"/>
        <v>105</v>
      </c>
      <c r="B110" s="139" t="s">
        <v>368</v>
      </c>
      <c r="C110" s="140" t="s">
        <v>369</v>
      </c>
      <c r="D110" s="141" t="s">
        <v>27</v>
      </c>
      <c r="E110" s="141" t="s">
        <v>28</v>
      </c>
      <c r="F110" s="141" t="s">
        <v>370</v>
      </c>
      <c r="G110" s="114">
        <v>430726</v>
      </c>
      <c r="H110" s="114" t="s">
        <v>30</v>
      </c>
      <c r="I110" s="141" t="s">
        <v>371</v>
      </c>
      <c r="J110" s="150">
        <f>12.42*2</f>
        <v>24.84</v>
      </c>
      <c r="K110" s="151">
        <v>78.1</v>
      </c>
      <c r="L110" s="150">
        <f t="shared" si="4"/>
        <v>2.8</v>
      </c>
      <c r="M110" s="150">
        <v>1.5</v>
      </c>
      <c r="N110" s="152">
        <v>0</v>
      </c>
      <c r="O110" s="150">
        <v>1.3</v>
      </c>
      <c r="P110" s="153">
        <v>0</v>
      </c>
      <c r="Q110" s="152">
        <v>0</v>
      </c>
      <c r="R110" s="157">
        <v>61.5</v>
      </c>
      <c r="S110" s="158">
        <v>12.03</v>
      </c>
      <c r="T110" s="139" t="s">
        <v>32</v>
      </c>
      <c r="U110" s="151">
        <v>0</v>
      </c>
      <c r="V110" s="150">
        <v>0.7</v>
      </c>
    </row>
    <row r="111" spans="1:22" ht="15.75" customHeight="1">
      <c r="A111" s="113">
        <f t="shared" si="5"/>
        <v>106</v>
      </c>
      <c r="B111" s="139" t="s">
        <v>372</v>
      </c>
      <c r="C111" s="140" t="s">
        <v>373</v>
      </c>
      <c r="D111" s="141" t="s">
        <v>27</v>
      </c>
      <c r="E111" s="141" t="s">
        <v>28</v>
      </c>
      <c r="F111" s="141" t="s">
        <v>374</v>
      </c>
      <c r="G111" s="114">
        <v>430726</v>
      </c>
      <c r="H111" s="114" t="s">
        <v>30</v>
      </c>
      <c r="I111" s="141" t="s">
        <v>375</v>
      </c>
      <c r="J111" s="150">
        <f>13.64*2</f>
        <v>27.28</v>
      </c>
      <c r="K111" s="151">
        <v>76.7</v>
      </c>
      <c r="L111" s="150">
        <f t="shared" si="4"/>
        <v>6.7</v>
      </c>
      <c r="M111" s="150">
        <v>3.6</v>
      </c>
      <c r="N111" s="152">
        <v>0</v>
      </c>
      <c r="O111" s="150">
        <v>2.9</v>
      </c>
      <c r="P111" s="153">
        <v>0.2</v>
      </c>
      <c r="Q111" s="152">
        <v>0</v>
      </c>
      <c r="R111" s="157">
        <v>59.9</v>
      </c>
      <c r="S111" s="158">
        <v>11.92</v>
      </c>
      <c r="T111" s="139" t="s">
        <v>32</v>
      </c>
      <c r="U111" s="151">
        <v>0</v>
      </c>
      <c r="V111" s="150">
        <v>0.2</v>
      </c>
    </row>
    <row r="112" spans="1:22" ht="15.75" customHeight="1">
      <c r="A112" s="113">
        <f t="shared" si="5"/>
        <v>107</v>
      </c>
      <c r="B112" s="139" t="s">
        <v>376</v>
      </c>
      <c r="C112" s="140" t="s">
        <v>377</v>
      </c>
      <c r="D112" s="141" t="s">
        <v>27</v>
      </c>
      <c r="E112" s="141" t="s">
        <v>28</v>
      </c>
      <c r="F112" s="141" t="s">
        <v>378</v>
      </c>
      <c r="G112" s="114">
        <v>430723</v>
      </c>
      <c r="H112" s="114" t="s">
        <v>30</v>
      </c>
      <c r="I112" s="141" t="s">
        <v>379</v>
      </c>
      <c r="J112" s="150">
        <f>12.87*2</f>
        <v>25.74</v>
      </c>
      <c r="K112" s="151">
        <v>77.8</v>
      </c>
      <c r="L112" s="150">
        <f t="shared" si="4"/>
        <v>2.3000000000000003</v>
      </c>
      <c r="M112" s="150">
        <v>1.7</v>
      </c>
      <c r="N112" s="152">
        <v>0</v>
      </c>
      <c r="O112" s="150">
        <v>0.5</v>
      </c>
      <c r="P112" s="153">
        <v>0.1</v>
      </c>
      <c r="Q112" s="152">
        <v>0</v>
      </c>
      <c r="R112" s="157">
        <v>44.9</v>
      </c>
      <c r="S112" s="158">
        <v>13.44</v>
      </c>
      <c r="T112" s="139" t="s">
        <v>32</v>
      </c>
      <c r="U112" s="151">
        <v>0</v>
      </c>
      <c r="V112" s="150">
        <v>0.3</v>
      </c>
    </row>
    <row r="113" spans="1:22" ht="15.75" customHeight="1">
      <c r="A113" s="113">
        <f t="shared" si="5"/>
        <v>108</v>
      </c>
      <c r="B113" s="139" t="s">
        <v>380</v>
      </c>
      <c r="C113" s="140" t="s">
        <v>381</v>
      </c>
      <c r="D113" s="141" t="s">
        <v>27</v>
      </c>
      <c r="E113" s="141" t="s">
        <v>28</v>
      </c>
      <c r="F113" s="141" t="s">
        <v>382</v>
      </c>
      <c r="G113" s="114">
        <v>430723</v>
      </c>
      <c r="H113" s="114" t="s">
        <v>30</v>
      </c>
      <c r="I113" s="141" t="s">
        <v>383</v>
      </c>
      <c r="J113" s="150">
        <f>13.05*2</f>
        <v>26.1</v>
      </c>
      <c r="K113" s="151">
        <v>77.9</v>
      </c>
      <c r="L113" s="150">
        <f t="shared" si="4"/>
        <v>0.9</v>
      </c>
      <c r="M113" s="150">
        <v>0.2</v>
      </c>
      <c r="N113" s="152">
        <v>0</v>
      </c>
      <c r="O113" s="150">
        <v>0.6</v>
      </c>
      <c r="P113" s="153">
        <v>0.1</v>
      </c>
      <c r="Q113" s="152">
        <v>0</v>
      </c>
      <c r="R113" s="157">
        <v>45.6</v>
      </c>
      <c r="S113" s="158">
        <v>11.69</v>
      </c>
      <c r="T113" s="139" t="s">
        <v>32</v>
      </c>
      <c r="U113" s="151">
        <v>0</v>
      </c>
      <c r="V113" s="150">
        <v>0.5</v>
      </c>
    </row>
    <row r="114" spans="1:22" ht="15.75" customHeight="1">
      <c r="A114" s="113">
        <f t="shared" si="5"/>
        <v>109</v>
      </c>
      <c r="B114" s="139" t="s">
        <v>384</v>
      </c>
      <c r="C114" s="140" t="s">
        <v>385</v>
      </c>
      <c r="D114" s="141" t="s">
        <v>27</v>
      </c>
      <c r="E114" s="141" t="s">
        <v>28</v>
      </c>
      <c r="F114" s="141" t="s">
        <v>386</v>
      </c>
      <c r="G114" s="114">
        <v>430723</v>
      </c>
      <c r="H114" s="114" t="s">
        <v>30</v>
      </c>
      <c r="I114" s="141" t="s">
        <v>387</v>
      </c>
      <c r="J114" s="150">
        <f>12.37*2</f>
        <v>24.74</v>
      </c>
      <c r="K114" s="151">
        <v>78.8</v>
      </c>
      <c r="L114" s="150">
        <f t="shared" si="4"/>
        <v>4.1</v>
      </c>
      <c r="M114" s="150">
        <v>2.6</v>
      </c>
      <c r="N114" s="152">
        <v>0</v>
      </c>
      <c r="O114" s="150">
        <v>1.4</v>
      </c>
      <c r="P114" s="153">
        <v>0.1</v>
      </c>
      <c r="Q114" s="152">
        <v>0</v>
      </c>
      <c r="R114" s="157">
        <v>59.8</v>
      </c>
      <c r="S114" s="158">
        <v>12.45</v>
      </c>
      <c r="T114" s="139" t="s">
        <v>32</v>
      </c>
      <c r="U114" s="151">
        <v>0</v>
      </c>
      <c r="V114" s="150">
        <v>0.8</v>
      </c>
    </row>
    <row r="115" spans="1:22" ht="15.75" customHeight="1">
      <c r="A115" s="113">
        <f t="shared" si="5"/>
        <v>110</v>
      </c>
      <c r="B115" s="139" t="s">
        <v>388</v>
      </c>
      <c r="C115" s="140" t="s">
        <v>389</v>
      </c>
      <c r="D115" s="141" t="s">
        <v>27</v>
      </c>
      <c r="E115" s="141" t="s">
        <v>28</v>
      </c>
      <c r="F115" s="141" t="s">
        <v>390</v>
      </c>
      <c r="G115" s="114">
        <v>430723</v>
      </c>
      <c r="H115" s="114" t="s">
        <v>30</v>
      </c>
      <c r="I115" s="141" t="s">
        <v>57</v>
      </c>
      <c r="J115" s="150">
        <f>12.71*2</f>
        <v>25.42</v>
      </c>
      <c r="K115" s="151">
        <v>79.8</v>
      </c>
      <c r="L115" s="150">
        <f t="shared" si="4"/>
        <v>2.3</v>
      </c>
      <c r="M115" s="150">
        <v>1.5</v>
      </c>
      <c r="N115" s="152">
        <v>0</v>
      </c>
      <c r="O115" s="150">
        <v>0.8</v>
      </c>
      <c r="P115" s="153">
        <v>0</v>
      </c>
      <c r="Q115" s="152">
        <v>0</v>
      </c>
      <c r="R115" s="157">
        <v>57.3</v>
      </c>
      <c r="S115" s="158">
        <v>12.69</v>
      </c>
      <c r="T115" s="139" t="s">
        <v>32</v>
      </c>
      <c r="U115" s="151">
        <v>0</v>
      </c>
      <c r="V115" s="150">
        <v>1</v>
      </c>
    </row>
    <row r="116" spans="1:22" ht="15.75" customHeight="1">
      <c r="A116" s="113">
        <f t="shared" si="5"/>
        <v>111</v>
      </c>
      <c r="B116" s="139" t="s">
        <v>391</v>
      </c>
      <c r="C116" s="140" t="s">
        <v>392</v>
      </c>
      <c r="D116" s="141" t="s">
        <v>27</v>
      </c>
      <c r="E116" s="141" t="s">
        <v>28</v>
      </c>
      <c r="F116" s="141" t="s">
        <v>393</v>
      </c>
      <c r="G116" s="114">
        <v>430723</v>
      </c>
      <c r="H116" s="114" t="s">
        <v>30</v>
      </c>
      <c r="I116" s="141" t="s">
        <v>119</v>
      </c>
      <c r="J116" s="150">
        <f>14.69*2</f>
        <v>29.38</v>
      </c>
      <c r="K116" s="151">
        <v>79.5</v>
      </c>
      <c r="L116" s="150">
        <f t="shared" si="4"/>
        <v>2.7</v>
      </c>
      <c r="M116" s="150">
        <v>2.2</v>
      </c>
      <c r="N116" s="152">
        <v>0</v>
      </c>
      <c r="O116" s="150">
        <v>0.5</v>
      </c>
      <c r="P116" s="153">
        <v>0</v>
      </c>
      <c r="Q116" s="152">
        <v>0</v>
      </c>
      <c r="R116" s="157">
        <v>52.5</v>
      </c>
      <c r="S116" s="158">
        <v>12.82</v>
      </c>
      <c r="T116" s="139" t="s">
        <v>32</v>
      </c>
      <c r="U116" s="151">
        <v>0</v>
      </c>
      <c r="V116" s="150">
        <v>0.5</v>
      </c>
    </row>
    <row r="117" spans="1:22" ht="15.75" customHeight="1">
      <c r="A117" s="113">
        <f t="shared" si="5"/>
        <v>112</v>
      </c>
      <c r="B117" s="139" t="s">
        <v>394</v>
      </c>
      <c r="C117" s="140" t="s">
        <v>395</v>
      </c>
      <c r="D117" s="141" t="s">
        <v>27</v>
      </c>
      <c r="E117" s="141" t="s">
        <v>28</v>
      </c>
      <c r="F117" s="141" t="s">
        <v>396</v>
      </c>
      <c r="G117" s="114">
        <v>430723</v>
      </c>
      <c r="H117" s="114" t="s">
        <v>30</v>
      </c>
      <c r="I117" s="141" t="s">
        <v>57</v>
      </c>
      <c r="J117" s="150">
        <f>11.89*2</f>
        <v>23.78</v>
      </c>
      <c r="K117" s="151">
        <v>79.5</v>
      </c>
      <c r="L117" s="150">
        <f t="shared" si="4"/>
        <v>1.5</v>
      </c>
      <c r="M117" s="150">
        <v>0.9</v>
      </c>
      <c r="N117" s="152">
        <v>0</v>
      </c>
      <c r="O117" s="150">
        <v>0.4</v>
      </c>
      <c r="P117" s="153">
        <v>0.2</v>
      </c>
      <c r="Q117" s="152">
        <v>0</v>
      </c>
      <c r="R117" s="157">
        <v>40.7</v>
      </c>
      <c r="S117" s="158">
        <v>12.08</v>
      </c>
      <c r="T117" s="139" t="s">
        <v>32</v>
      </c>
      <c r="U117" s="151">
        <v>0</v>
      </c>
      <c r="V117" s="150">
        <v>0.3</v>
      </c>
    </row>
    <row r="118" spans="1:22" ht="15.75" customHeight="1">
      <c r="A118" s="113">
        <f t="shared" si="5"/>
        <v>113</v>
      </c>
      <c r="B118" s="139" t="s">
        <v>397</v>
      </c>
      <c r="C118" s="140" t="s">
        <v>398</v>
      </c>
      <c r="D118" s="141" t="s">
        <v>27</v>
      </c>
      <c r="E118" s="141" t="s">
        <v>28</v>
      </c>
      <c r="F118" s="141" t="s">
        <v>399</v>
      </c>
      <c r="G118" s="114">
        <v>430723</v>
      </c>
      <c r="H118" s="114" t="s">
        <v>30</v>
      </c>
      <c r="I118" s="141" t="s">
        <v>119</v>
      </c>
      <c r="J118" s="150">
        <f>11.74*2</f>
        <v>23.48</v>
      </c>
      <c r="K118" s="151">
        <v>76.3</v>
      </c>
      <c r="L118" s="150">
        <f t="shared" si="4"/>
        <v>3.8000000000000003</v>
      </c>
      <c r="M118" s="150">
        <v>2.9</v>
      </c>
      <c r="N118" s="152">
        <v>0</v>
      </c>
      <c r="O118" s="150">
        <v>0.8</v>
      </c>
      <c r="P118" s="153">
        <v>0.1</v>
      </c>
      <c r="Q118" s="152">
        <v>0</v>
      </c>
      <c r="R118" s="157">
        <v>49.8</v>
      </c>
      <c r="S118" s="158">
        <v>13.45</v>
      </c>
      <c r="T118" s="139" t="s">
        <v>32</v>
      </c>
      <c r="U118" s="151">
        <v>0</v>
      </c>
      <c r="V118" s="150">
        <v>0.2</v>
      </c>
    </row>
    <row r="119" spans="1:22" ht="15.75" customHeight="1">
      <c r="A119" s="113">
        <f t="shared" si="5"/>
        <v>114</v>
      </c>
      <c r="B119" s="139" t="s">
        <v>400</v>
      </c>
      <c r="C119" s="140" t="s">
        <v>401</v>
      </c>
      <c r="D119" s="141" t="s">
        <v>27</v>
      </c>
      <c r="E119" s="141" t="s">
        <v>28</v>
      </c>
      <c r="F119" s="141" t="s">
        <v>402</v>
      </c>
      <c r="G119" s="114">
        <v>430723</v>
      </c>
      <c r="H119" s="114" t="s">
        <v>30</v>
      </c>
      <c r="I119" s="141" t="s">
        <v>57</v>
      </c>
      <c r="J119" s="150">
        <f>12.33*2</f>
        <v>24.66</v>
      </c>
      <c r="K119" s="151">
        <v>78.2</v>
      </c>
      <c r="L119" s="150">
        <f t="shared" si="4"/>
        <v>3.1</v>
      </c>
      <c r="M119" s="150">
        <v>1.9</v>
      </c>
      <c r="N119" s="152">
        <v>0</v>
      </c>
      <c r="O119" s="150">
        <v>1.1</v>
      </c>
      <c r="P119" s="153">
        <v>0.1</v>
      </c>
      <c r="Q119" s="152">
        <v>0</v>
      </c>
      <c r="R119" s="157">
        <v>47.9</v>
      </c>
      <c r="S119" s="158">
        <v>12.29</v>
      </c>
      <c r="T119" s="139" t="s">
        <v>32</v>
      </c>
      <c r="U119" s="151">
        <v>0</v>
      </c>
      <c r="V119" s="150">
        <v>0.9</v>
      </c>
    </row>
    <row r="120" spans="1:22" ht="15.75" customHeight="1">
      <c r="A120" s="113">
        <f t="shared" si="5"/>
        <v>115</v>
      </c>
      <c r="B120" s="139" t="s">
        <v>403</v>
      </c>
      <c r="C120" s="140" t="s">
        <v>404</v>
      </c>
      <c r="D120" s="141" t="s">
        <v>27</v>
      </c>
      <c r="E120" s="141" t="s">
        <v>28</v>
      </c>
      <c r="F120" s="141" t="s">
        <v>405</v>
      </c>
      <c r="G120" s="114">
        <v>430723</v>
      </c>
      <c r="H120" s="114" t="s">
        <v>30</v>
      </c>
      <c r="I120" s="141" t="s">
        <v>57</v>
      </c>
      <c r="J120" s="150">
        <f>12.86*2</f>
        <v>25.72</v>
      </c>
      <c r="K120" s="151">
        <v>79.7</v>
      </c>
      <c r="L120" s="150">
        <f t="shared" si="4"/>
        <v>2.3</v>
      </c>
      <c r="M120" s="150">
        <v>0.7</v>
      </c>
      <c r="N120" s="152">
        <v>0</v>
      </c>
      <c r="O120" s="150">
        <v>1.3</v>
      </c>
      <c r="P120" s="153">
        <v>0.3</v>
      </c>
      <c r="Q120" s="152">
        <v>0</v>
      </c>
      <c r="R120" s="157">
        <v>40</v>
      </c>
      <c r="S120" s="158">
        <v>12.86</v>
      </c>
      <c r="T120" s="139" t="s">
        <v>32</v>
      </c>
      <c r="U120" s="151">
        <v>0</v>
      </c>
      <c r="V120" s="150">
        <v>1.5</v>
      </c>
    </row>
    <row r="121" spans="1:22" ht="15.75" customHeight="1">
      <c r="A121" s="113">
        <f t="shared" si="5"/>
        <v>116</v>
      </c>
      <c r="B121" s="139" t="s">
        <v>406</v>
      </c>
      <c r="C121" s="140" t="s">
        <v>407</v>
      </c>
      <c r="D121" s="141" t="s">
        <v>27</v>
      </c>
      <c r="E121" s="141" t="s">
        <v>28</v>
      </c>
      <c r="F121" s="141" t="s">
        <v>408</v>
      </c>
      <c r="G121" s="114">
        <v>430723</v>
      </c>
      <c r="H121" s="114" t="s">
        <v>30</v>
      </c>
      <c r="I121" s="141" t="s">
        <v>57</v>
      </c>
      <c r="J121" s="150">
        <f>12.23*2</f>
        <v>24.46</v>
      </c>
      <c r="K121" s="151">
        <v>78.8</v>
      </c>
      <c r="L121" s="150">
        <f t="shared" si="4"/>
        <v>3</v>
      </c>
      <c r="M121" s="150">
        <v>1.7</v>
      </c>
      <c r="N121" s="152">
        <v>0</v>
      </c>
      <c r="O121" s="150">
        <v>0.9</v>
      </c>
      <c r="P121" s="153">
        <v>0.4</v>
      </c>
      <c r="Q121" s="152">
        <v>0</v>
      </c>
      <c r="R121" s="157">
        <v>47.9</v>
      </c>
      <c r="S121" s="158">
        <v>12.37</v>
      </c>
      <c r="T121" s="139" t="s">
        <v>32</v>
      </c>
      <c r="U121" s="151">
        <v>0</v>
      </c>
      <c r="V121" s="150">
        <v>1.7</v>
      </c>
    </row>
    <row r="122" spans="1:22" ht="15.75" customHeight="1">
      <c r="A122" s="113">
        <f aca="true" t="shared" si="6" ref="A122:A156">A121+1</f>
        <v>117</v>
      </c>
      <c r="B122" s="139" t="s">
        <v>409</v>
      </c>
      <c r="C122" s="140" t="s">
        <v>410</v>
      </c>
      <c r="D122" s="141" t="s">
        <v>27</v>
      </c>
      <c r="E122" s="141" t="s">
        <v>28</v>
      </c>
      <c r="F122" s="141" t="s">
        <v>411</v>
      </c>
      <c r="G122" s="114">
        <v>430723</v>
      </c>
      <c r="H122" s="114" t="s">
        <v>30</v>
      </c>
      <c r="I122" s="141" t="s">
        <v>119</v>
      </c>
      <c r="J122" s="150">
        <f>11.58*2</f>
        <v>23.16</v>
      </c>
      <c r="K122" s="151">
        <v>78</v>
      </c>
      <c r="L122" s="150">
        <f t="shared" si="4"/>
        <v>2</v>
      </c>
      <c r="M122" s="150">
        <v>1.3</v>
      </c>
      <c r="N122" s="152">
        <v>0</v>
      </c>
      <c r="O122" s="150">
        <v>0.5</v>
      </c>
      <c r="P122" s="153">
        <v>0.2</v>
      </c>
      <c r="Q122" s="152">
        <v>0</v>
      </c>
      <c r="R122" s="157">
        <v>62.8</v>
      </c>
      <c r="S122" s="158">
        <v>11.99</v>
      </c>
      <c r="T122" s="139" t="s">
        <v>32</v>
      </c>
      <c r="U122" s="151">
        <v>0</v>
      </c>
      <c r="V122" s="150">
        <v>0.2</v>
      </c>
    </row>
    <row r="123" spans="1:22" ht="15.75" customHeight="1">
      <c r="A123" s="113">
        <f t="shared" si="6"/>
        <v>118</v>
      </c>
      <c r="B123" s="139" t="s">
        <v>412</v>
      </c>
      <c r="C123" s="140" t="s">
        <v>413</v>
      </c>
      <c r="D123" s="141" t="s">
        <v>27</v>
      </c>
      <c r="E123" s="141" t="s">
        <v>28</v>
      </c>
      <c r="F123" s="141" t="s">
        <v>414</v>
      </c>
      <c r="G123" s="114">
        <v>430723</v>
      </c>
      <c r="H123" s="114" t="s">
        <v>30</v>
      </c>
      <c r="I123" s="141" t="s">
        <v>57</v>
      </c>
      <c r="J123" s="150">
        <f>13.22*2</f>
        <v>26.44</v>
      </c>
      <c r="K123" s="151">
        <v>78.2</v>
      </c>
      <c r="L123" s="150">
        <f t="shared" si="4"/>
        <v>2.9000000000000004</v>
      </c>
      <c r="M123" s="150">
        <v>2.2</v>
      </c>
      <c r="N123" s="152">
        <v>0</v>
      </c>
      <c r="O123" s="150">
        <v>0.7</v>
      </c>
      <c r="P123" s="153">
        <v>0</v>
      </c>
      <c r="Q123" s="152">
        <v>0</v>
      </c>
      <c r="R123" s="157">
        <v>58.3</v>
      </c>
      <c r="S123" s="158">
        <v>13.27</v>
      </c>
      <c r="T123" s="139" t="s">
        <v>32</v>
      </c>
      <c r="U123" s="151">
        <v>0</v>
      </c>
      <c r="V123" s="150">
        <v>0.4</v>
      </c>
    </row>
    <row r="124" spans="1:22" ht="15.75" customHeight="1">
      <c r="A124" s="113">
        <f t="shared" si="6"/>
        <v>119</v>
      </c>
      <c r="B124" s="139" t="s">
        <v>415</v>
      </c>
      <c r="C124" s="140" t="s">
        <v>416</v>
      </c>
      <c r="D124" s="141" t="s">
        <v>27</v>
      </c>
      <c r="E124" s="141" t="s">
        <v>28</v>
      </c>
      <c r="F124" s="141" t="s">
        <v>417</v>
      </c>
      <c r="G124" s="114">
        <v>430723</v>
      </c>
      <c r="H124" s="114" t="s">
        <v>30</v>
      </c>
      <c r="I124" s="141" t="s">
        <v>119</v>
      </c>
      <c r="J124" s="150">
        <f>13.81*2</f>
        <v>27.62</v>
      </c>
      <c r="K124" s="159">
        <v>79.3</v>
      </c>
      <c r="L124" s="150">
        <f t="shared" si="4"/>
        <v>3.2</v>
      </c>
      <c r="M124" s="150">
        <v>1.3</v>
      </c>
      <c r="N124" s="152">
        <v>0</v>
      </c>
      <c r="O124" s="150">
        <v>1.8</v>
      </c>
      <c r="P124" s="153">
        <v>0.1</v>
      </c>
      <c r="Q124" s="152">
        <v>0</v>
      </c>
      <c r="R124" s="157">
        <v>62.3</v>
      </c>
      <c r="S124" s="158">
        <v>13.22</v>
      </c>
      <c r="T124" s="139" t="s">
        <v>32</v>
      </c>
      <c r="U124" s="151">
        <v>0</v>
      </c>
      <c r="V124" s="150">
        <v>0</v>
      </c>
    </row>
    <row r="125" spans="1:22" ht="15.75" customHeight="1">
      <c r="A125" s="113">
        <f t="shared" si="6"/>
        <v>120</v>
      </c>
      <c r="B125" s="139" t="s">
        <v>418</v>
      </c>
      <c r="C125" s="140" t="s">
        <v>419</v>
      </c>
      <c r="D125" s="141" t="s">
        <v>27</v>
      </c>
      <c r="E125" s="141" t="s">
        <v>28</v>
      </c>
      <c r="F125" s="141" t="s">
        <v>420</v>
      </c>
      <c r="G125" s="114">
        <v>430723</v>
      </c>
      <c r="H125" s="114" t="s">
        <v>30</v>
      </c>
      <c r="I125" s="141" t="s">
        <v>421</v>
      </c>
      <c r="J125" s="150">
        <f>14.09*2</f>
        <v>28.18</v>
      </c>
      <c r="K125" s="159">
        <v>79.4</v>
      </c>
      <c r="L125" s="150">
        <f t="shared" si="4"/>
        <v>3.3000000000000003</v>
      </c>
      <c r="M125" s="150">
        <v>1.2</v>
      </c>
      <c r="N125" s="152">
        <v>0</v>
      </c>
      <c r="O125" s="150">
        <v>2</v>
      </c>
      <c r="P125" s="153">
        <v>0.1</v>
      </c>
      <c r="Q125" s="152">
        <v>0</v>
      </c>
      <c r="R125" s="157">
        <v>43.9</v>
      </c>
      <c r="S125" s="158">
        <v>12.09</v>
      </c>
      <c r="T125" s="139" t="s">
        <v>32</v>
      </c>
      <c r="U125" s="151">
        <v>0</v>
      </c>
      <c r="V125" s="150">
        <v>0.3</v>
      </c>
    </row>
    <row r="126" spans="1:22" ht="15.75" customHeight="1">
      <c r="A126" s="113">
        <f t="shared" si="6"/>
        <v>121</v>
      </c>
      <c r="B126" s="139" t="s">
        <v>422</v>
      </c>
      <c r="C126" s="140" t="s">
        <v>423</v>
      </c>
      <c r="D126" s="141" t="s">
        <v>27</v>
      </c>
      <c r="E126" s="141" t="s">
        <v>28</v>
      </c>
      <c r="F126" s="141" t="s">
        <v>424</v>
      </c>
      <c r="G126" s="114">
        <v>430723</v>
      </c>
      <c r="H126" s="114" t="s">
        <v>30</v>
      </c>
      <c r="I126" s="141" t="s">
        <v>425</v>
      </c>
      <c r="J126" s="150">
        <f>13.09*2</f>
        <v>26.18</v>
      </c>
      <c r="K126" s="159">
        <v>76.1</v>
      </c>
      <c r="L126" s="150">
        <f t="shared" si="4"/>
        <v>4.3999999999999995</v>
      </c>
      <c r="M126" s="150">
        <v>3.8</v>
      </c>
      <c r="N126" s="152">
        <v>0</v>
      </c>
      <c r="O126" s="150">
        <v>0.6</v>
      </c>
      <c r="P126" s="153">
        <v>0</v>
      </c>
      <c r="Q126" s="152">
        <v>0</v>
      </c>
      <c r="R126" s="157">
        <v>53.6</v>
      </c>
      <c r="S126" s="158">
        <v>12.22</v>
      </c>
      <c r="T126" s="139" t="s">
        <v>32</v>
      </c>
      <c r="U126" s="151">
        <v>0</v>
      </c>
      <c r="V126" s="150">
        <v>0.2</v>
      </c>
    </row>
    <row r="127" spans="1:22" ht="15.75" customHeight="1">
      <c r="A127" s="113">
        <f t="shared" si="6"/>
        <v>122</v>
      </c>
      <c r="B127" s="139" t="s">
        <v>426</v>
      </c>
      <c r="C127" s="140" t="s">
        <v>427</v>
      </c>
      <c r="D127" s="141" t="s">
        <v>27</v>
      </c>
      <c r="E127" s="141" t="s">
        <v>28</v>
      </c>
      <c r="F127" s="141" t="s">
        <v>428</v>
      </c>
      <c r="G127" s="114">
        <v>430723</v>
      </c>
      <c r="H127" s="114" t="s">
        <v>30</v>
      </c>
      <c r="I127" s="141" t="s">
        <v>57</v>
      </c>
      <c r="J127" s="150">
        <f>12.57*2</f>
        <v>25.14</v>
      </c>
      <c r="K127" s="159">
        <v>77.4</v>
      </c>
      <c r="L127" s="150">
        <f t="shared" si="4"/>
        <v>5.3999999999999995</v>
      </c>
      <c r="M127" s="150">
        <v>5.1</v>
      </c>
      <c r="N127" s="152">
        <v>0</v>
      </c>
      <c r="O127" s="150">
        <v>0.2</v>
      </c>
      <c r="P127" s="153">
        <v>0.1</v>
      </c>
      <c r="Q127" s="152">
        <v>0</v>
      </c>
      <c r="R127" s="157">
        <v>63.3</v>
      </c>
      <c r="S127" s="158">
        <v>10.99</v>
      </c>
      <c r="T127" s="139" t="s">
        <v>32</v>
      </c>
      <c r="U127" s="151">
        <v>0</v>
      </c>
      <c r="V127" s="150">
        <v>0</v>
      </c>
    </row>
    <row r="128" spans="1:22" ht="15.75" customHeight="1">
      <c r="A128" s="113">
        <f t="shared" si="6"/>
        <v>123</v>
      </c>
      <c r="B128" s="139" t="s">
        <v>429</v>
      </c>
      <c r="C128" s="140" t="s">
        <v>430</v>
      </c>
      <c r="D128" s="141" t="s">
        <v>27</v>
      </c>
      <c r="E128" s="141" t="s">
        <v>28</v>
      </c>
      <c r="F128" s="141" t="s">
        <v>431</v>
      </c>
      <c r="G128" s="114">
        <v>430723</v>
      </c>
      <c r="H128" s="114" t="s">
        <v>30</v>
      </c>
      <c r="I128" s="141" t="s">
        <v>57</v>
      </c>
      <c r="J128" s="150">
        <f>13.49*2</f>
        <v>26.98</v>
      </c>
      <c r="K128" s="159">
        <v>75.9</v>
      </c>
      <c r="L128" s="150">
        <f t="shared" si="4"/>
        <v>5.2</v>
      </c>
      <c r="M128" s="150">
        <v>4.5</v>
      </c>
      <c r="N128" s="152">
        <v>0</v>
      </c>
      <c r="O128" s="150">
        <v>0.5</v>
      </c>
      <c r="P128" s="153">
        <v>0.2</v>
      </c>
      <c r="Q128" s="152">
        <v>0</v>
      </c>
      <c r="R128" s="157">
        <v>57.7</v>
      </c>
      <c r="S128" s="158">
        <v>12.01</v>
      </c>
      <c r="T128" s="139" t="s">
        <v>32</v>
      </c>
      <c r="U128" s="151">
        <v>0</v>
      </c>
      <c r="V128" s="150">
        <v>0.3</v>
      </c>
    </row>
    <row r="129" spans="1:22" ht="15.75" customHeight="1">
      <c r="A129" s="113">
        <f t="shared" si="6"/>
        <v>124</v>
      </c>
      <c r="B129" s="139" t="s">
        <v>432</v>
      </c>
      <c r="C129" s="140" t="s">
        <v>433</v>
      </c>
      <c r="D129" s="141" t="s">
        <v>27</v>
      </c>
      <c r="E129" s="141" t="s">
        <v>28</v>
      </c>
      <c r="F129" s="141" t="s">
        <v>56</v>
      </c>
      <c r="G129" s="114">
        <v>430723</v>
      </c>
      <c r="H129" s="114" t="s">
        <v>30</v>
      </c>
      <c r="I129" s="141" t="s">
        <v>57</v>
      </c>
      <c r="J129" s="150">
        <f>13.63*2</f>
        <v>27.26</v>
      </c>
      <c r="K129" s="159">
        <v>77.5</v>
      </c>
      <c r="L129" s="150">
        <f t="shared" si="4"/>
        <v>7.6</v>
      </c>
      <c r="M129" s="150">
        <v>7</v>
      </c>
      <c r="N129" s="152">
        <v>0</v>
      </c>
      <c r="O129" s="150">
        <v>0.6</v>
      </c>
      <c r="P129" s="153">
        <v>0</v>
      </c>
      <c r="Q129" s="152">
        <v>0</v>
      </c>
      <c r="R129" s="157">
        <v>67.8</v>
      </c>
      <c r="S129" s="158">
        <v>11.16</v>
      </c>
      <c r="T129" s="139" t="s">
        <v>32</v>
      </c>
      <c r="U129" s="151">
        <v>0</v>
      </c>
      <c r="V129" s="150">
        <v>0.1</v>
      </c>
    </row>
    <row r="130" spans="1:22" ht="15.75" customHeight="1">
      <c r="A130" s="113">
        <f t="shared" si="6"/>
        <v>125</v>
      </c>
      <c r="B130" s="139" t="s">
        <v>434</v>
      </c>
      <c r="C130" s="140" t="s">
        <v>435</v>
      </c>
      <c r="D130" s="141" t="s">
        <v>27</v>
      </c>
      <c r="E130" s="141" t="s">
        <v>28</v>
      </c>
      <c r="F130" s="141" t="s">
        <v>436</v>
      </c>
      <c r="G130" s="114">
        <v>430723</v>
      </c>
      <c r="H130" s="114" t="s">
        <v>30</v>
      </c>
      <c r="I130" s="141" t="s">
        <v>57</v>
      </c>
      <c r="J130" s="150">
        <f>12.87*2</f>
        <v>25.74</v>
      </c>
      <c r="K130" s="159">
        <v>79.4</v>
      </c>
      <c r="L130" s="150">
        <f t="shared" si="4"/>
        <v>2.7</v>
      </c>
      <c r="M130" s="150">
        <v>1.6</v>
      </c>
      <c r="N130" s="152">
        <v>0</v>
      </c>
      <c r="O130" s="150">
        <v>0.6</v>
      </c>
      <c r="P130" s="153">
        <v>0.5</v>
      </c>
      <c r="Q130" s="152">
        <v>0</v>
      </c>
      <c r="R130" s="157">
        <v>51.9</v>
      </c>
      <c r="S130" s="158">
        <v>12.41</v>
      </c>
      <c r="T130" s="139" t="s">
        <v>32</v>
      </c>
      <c r="U130" s="151">
        <v>0</v>
      </c>
      <c r="V130" s="150">
        <v>0.9</v>
      </c>
    </row>
    <row r="131" spans="1:22" ht="15.75" customHeight="1">
      <c r="A131" s="113">
        <f t="shared" si="6"/>
        <v>126</v>
      </c>
      <c r="B131" s="139" t="s">
        <v>437</v>
      </c>
      <c r="C131" s="140" t="s">
        <v>438</v>
      </c>
      <c r="D131" s="141" t="s">
        <v>27</v>
      </c>
      <c r="E131" s="141" t="s">
        <v>28</v>
      </c>
      <c r="F131" s="141" t="s">
        <v>439</v>
      </c>
      <c r="G131" s="114">
        <v>430725</v>
      </c>
      <c r="H131" s="114" t="s">
        <v>30</v>
      </c>
      <c r="I131" s="141" t="s">
        <v>359</v>
      </c>
      <c r="J131" s="150">
        <f>13.62*2</f>
        <v>27.24</v>
      </c>
      <c r="K131" s="159">
        <v>77.4</v>
      </c>
      <c r="L131" s="150">
        <f t="shared" si="4"/>
        <v>3.8</v>
      </c>
      <c r="M131" s="150">
        <v>3.1</v>
      </c>
      <c r="N131" s="152">
        <v>0</v>
      </c>
      <c r="O131" s="150">
        <v>0.7</v>
      </c>
      <c r="P131" s="153">
        <v>0</v>
      </c>
      <c r="Q131" s="152">
        <v>0</v>
      </c>
      <c r="R131" s="157">
        <v>58</v>
      </c>
      <c r="S131" s="158">
        <v>12.98</v>
      </c>
      <c r="T131" s="139" t="s">
        <v>32</v>
      </c>
      <c r="U131" s="151">
        <v>0</v>
      </c>
      <c r="V131" s="150">
        <v>0.3</v>
      </c>
    </row>
    <row r="132" spans="1:22" ht="15.75" customHeight="1">
      <c r="A132" s="113">
        <f t="shared" si="6"/>
        <v>127</v>
      </c>
      <c r="B132" s="139" t="s">
        <v>440</v>
      </c>
      <c r="C132" s="140" t="s">
        <v>441</v>
      </c>
      <c r="D132" s="141" t="s">
        <v>27</v>
      </c>
      <c r="E132" s="141" t="s">
        <v>28</v>
      </c>
      <c r="F132" s="141" t="s">
        <v>442</v>
      </c>
      <c r="G132" s="114">
        <v>430781</v>
      </c>
      <c r="H132" s="114" t="s">
        <v>443</v>
      </c>
      <c r="I132" s="141" t="s">
        <v>119</v>
      </c>
      <c r="J132" s="150">
        <f>13.61*2</f>
        <v>27.22</v>
      </c>
      <c r="K132" s="159">
        <v>79.7</v>
      </c>
      <c r="L132" s="150">
        <f t="shared" si="4"/>
        <v>2.8</v>
      </c>
      <c r="M132" s="150">
        <v>0.8</v>
      </c>
      <c r="N132" s="152">
        <v>0</v>
      </c>
      <c r="O132" s="150">
        <v>1.3</v>
      </c>
      <c r="P132" s="153">
        <v>0.7</v>
      </c>
      <c r="Q132" s="152">
        <v>0</v>
      </c>
      <c r="R132" s="157">
        <v>58</v>
      </c>
      <c r="S132" s="158">
        <v>11.08</v>
      </c>
      <c r="T132" s="139" t="s">
        <v>32</v>
      </c>
      <c r="U132" s="151">
        <v>0</v>
      </c>
      <c r="V132" s="150">
        <v>0.4</v>
      </c>
    </row>
    <row r="133" spans="1:22" ht="15.75" customHeight="1">
      <c r="A133" s="113">
        <f t="shared" si="6"/>
        <v>128</v>
      </c>
      <c r="B133" s="139" t="s">
        <v>444</v>
      </c>
      <c r="C133" s="140" t="s">
        <v>445</v>
      </c>
      <c r="D133" s="141" t="s">
        <v>27</v>
      </c>
      <c r="E133" s="141" t="s">
        <v>28</v>
      </c>
      <c r="F133" s="141" t="s">
        <v>446</v>
      </c>
      <c r="G133" s="114">
        <v>430725</v>
      </c>
      <c r="H133" s="114" t="s">
        <v>443</v>
      </c>
      <c r="I133" s="141" t="s">
        <v>359</v>
      </c>
      <c r="J133" s="150">
        <f>12.8*2</f>
        <v>25.6</v>
      </c>
      <c r="K133" s="159">
        <v>80.1</v>
      </c>
      <c r="L133" s="150">
        <f t="shared" si="4"/>
        <v>4.8</v>
      </c>
      <c r="M133" s="150">
        <v>3.3</v>
      </c>
      <c r="N133" s="152">
        <v>0</v>
      </c>
      <c r="O133" s="150">
        <v>1.5</v>
      </c>
      <c r="P133" s="153">
        <v>0</v>
      </c>
      <c r="Q133" s="152">
        <v>0</v>
      </c>
      <c r="R133" s="157">
        <v>64.9</v>
      </c>
      <c r="S133" s="158">
        <v>9.01</v>
      </c>
      <c r="T133" s="139" t="s">
        <v>32</v>
      </c>
      <c r="U133" s="151">
        <v>0</v>
      </c>
      <c r="V133" s="150">
        <v>0.1</v>
      </c>
    </row>
    <row r="134" spans="1:22" ht="15.75" customHeight="1">
      <c r="A134" s="113">
        <f t="shared" si="6"/>
        <v>129</v>
      </c>
      <c r="B134" s="139" t="s">
        <v>447</v>
      </c>
      <c r="C134" s="140" t="s">
        <v>448</v>
      </c>
      <c r="D134" s="141" t="s">
        <v>27</v>
      </c>
      <c r="E134" s="141" t="s">
        <v>28</v>
      </c>
      <c r="F134" s="141" t="s">
        <v>449</v>
      </c>
      <c r="G134" s="114">
        <v>430725</v>
      </c>
      <c r="H134" s="114" t="s">
        <v>443</v>
      </c>
      <c r="I134" s="141" t="s">
        <v>106</v>
      </c>
      <c r="J134" s="150">
        <f>12.96*2</f>
        <v>25.92</v>
      </c>
      <c r="K134" s="159">
        <v>79.1</v>
      </c>
      <c r="L134" s="150">
        <f aca="true" t="shared" si="7" ref="L134:L165">SUM(M134:Q134)</f>
        <v>2.5</v>
      </c>
      <c r="M134" s="150">
        <v>1</v>
      </c>
      <c r="N134" s="152">
        <v>0</v>
      </c>
      <c r="O134" s="150">
        <v>1.2</v>
      </c>
      <c r="P134" s="153">
        <v>0.3</v>
      </c>
      <c r="Q134" s="152">
        <v>0</v>
      </c>
      <c r="R134" s="157">
        <v>61.6</v>
      </c>
      <c r="S134" s="158">
        <v>12.55</v>
      </c>
      <c r="T134" s="139" t="s">
        <v>32</v>
      </c>
      <c r="U134" s="151">
        <v>0</v>
      </c>
      <c r="V134" s="150">
        <v>0.2</v>
      </c>
    </row>
    <row r="135" spans="1:22" ht="15.75" customHeight="1">
      <c r="A135" s="113">
        <f t="shared" si="6"/>
        <v>130</v>
      </c>
      <c r="B135" s="139" t="s">
        <v>450</v>
      </c>
      <c r="C135" s="140" t="s">
        <v>451</v>
      </c>
      <c r="D135" s="141" t="s">
        <v>27</v>
      </c>
      <c r="E135" s="141" t="s">
        <v>28</v>
      </c>
      <c r="F135" s="141" t="s">
        <v>452</v>
      </c>
      <c r="G135" s="114">
        <v>430702</v>
      </c>
      <c r="H135" s="114" t="s">
        <v>127</v>
      </c>
      <c r="I135" s="141" t="s">
        <v>453</v>
      </c>
      <c r="J135" s="150">
        <f>11.98*2</f>
        <v>23.96</v>
      </c>
      <c r="K135" s="159">
        <v>79.6</v>
      </c>
      <c r="L135" s="150">
        <f t="shared" si="7"/>
        <v>1.2000000000000002</v>
      </c>
      <c r="M135" s="150">
        <v>0.8</v>
      </c>
      <c r="N135" s="152">
        <v>0</v>
      </c>
      <c r="O135" s="150">
        <v>0.4</v>
      </c>
      <c r="P135" s="153">
        <v>0</v>
      </c>
      <c r="Q135" s="152">
        <v>0</v>
      </c>
      <c r="R135" s="157">
        <v>52.3</v>
      </c>
      <c r="S135" s="158">
        <v>10.62</v>
      </c>
      <c r="T135" s="139" t="s">
        <v>32</v>
      </c>
      <c r="U135" s="151">
        <v>0</v>
      </c>
      <c r="V135" s="150">
        <v>0.4</v>
      </c>
    </row>
    <row r="136" spans="1:22" ht="15.75" customHeight="1">
      <c r="A136" s="113">
        <f t="shared" si="6"/>
        <v>131</v>
      </c>
      <c r="B136" s="139" t="s">
        <v>454</v>
      </c>
      <c r="C136" s="140" t="s">
        <v>455</v>
      </c>
      <c r="D136" s="141" t="s">
        <v>27</v>
      </c>
      <c r="E136" s="141" t="s">
        <v>28</v>
      </c>
      <c r="F136" s="141" t="s">
        <v>456</v>
      </c>
      <c r="G136" s="114">
        <v>430702</v>
      </c>
      <c r="H136" s="114" t="s">
        <v>127</v>
      </c>
      <c r="I136" s="141" t="s">
        <v>453</v>
      </c>
      <c r="J136" s="150">
        <f>11.91*2</f>
        <v>23.82</v>
      </c>
      <c r="K136" s="159">
        <v>78.6</v>
      </c>
      <c r="L136" s="150">
        <f t="shared" si="7"/>
        <v>1.8</v>
      </c>
      <c r="M136" s="150">
        <v>1.5</v>
      </c>
      <c r="N136" s="152">
        <v>0</v>
      </c>
      <c r="O136" s="150">
        <v>0.3</v>
      </c>
      <c r="P136" s="153">
        <v>0</v>
      </c>
      <c r="Q136" s="152">
        <v>0</v>
      </c>
      <c r="R136" s="157">
        <v>39</v>
      </c>
      <c r="S136" s="158">
        <v>10.13</v>
      </c>
      <c r="T136" s="139" t="s">
        <v>32</v>
      </c>
      <c r="U136" s="151">
        <v>0</v>
      </c>
      <c r="V136" s="150">
        <v>0.4</v>
      </c>
    </row>
    <row r="137" spans="1:22" ht="15.75" customHeight="1">
      <c r="A137" s="113">
        <f t="shared" si="6"/>
        <v>132</v>
      </c>
      <c r="B137" s="139" t="s">
        <v>457</v>
      </c>
      <c r="C137" s="140" t="s">
        <v>458</v>
      </c>
      <c r="D137" s="141" t="s">
        <v>27</v>
      </c>
      <c r="E137" s="141" t="s">
        <v>28</v>
      </c>
      <c r="F137" s="141" t="s">
        <v>456</v>
      </c>
      <c r="G137" s="114">
        <v>430702</v>
      </c>
      <c r="H137" s="114" t="s">
        <v>127</v>
      </c>
      <c r="I137" s="141" t="s">
        <v>453</v>
      </c>
      <c r="J137" s="150">
        <f>11.72*2</f>
        <v>23.44</v>
      </c>
      <c r="K137" s="159">
        <v>79.6</v>
      </c>
      <c r="L137" s="150">
        <f t="shared" si="7"/>
        <v>2.6</v>
      </c>
      <c r="M137" s="150">
        <v>0.4</v>
      </c>
      <c r="N137" s="152">
        <v>0</v>
      </c>
      <c r="O137" s="150">
        <v>2.2</v>
      </c>
      <c r="P137" s="153">
        <v>0</v>
      </c>
      <c r="Q137" s="152">
        <v>0</v>
      </c>
      <c r="R137" s="157">
        <v>58.7</v>
      </c>
      <c r="S137" s="158">
        <v>11.1</v>
      </c>
      <c r="T137" s="139" t="s">
        <v>32</v>
      </c>
      <c r="U137" s="151">
        <v>0</v>
      </c>
      <c r="V137" s="150">
        <v>0.2</v>
      </c>
    </row>
    <row r="138" spans="1:22" ht="15.75" customHeight="1">
      <c r="A138" s="113">
        <f t="shared" si="6"/>
        <v>133</v>
      </c>
      <c r="B138" s="139" t="s">
        <v>459</v>
      </c>
      <c r="C138" s="140" t="s">
        <v>460</v>
      </c>
      <c r="D138" s="141" t="s">
        <v>27</v>
      </c>
      <c r="E138" s="141" t="s">
        <v>28</v>
      </c>
      <c r="F138" s="141" t="s">
        <v>461</v>
      </c>
      <c r="G138" s="114">
        <v>430725</v>
      </c>
      <c r="H138" s="114" t="s">
        <v>30</v>
      </c>
      <c r="I138" s="141" t="s">
        <v>462</v>
      </c>
      <c r="J138" s="150">
        <f>14.63*2</f>
        <v>29.26</v>
      </c>
      <c r="K138" s="159">
        <v>78.1</v>
      </c>
      <c r="L138" s="150">
        <f t="shared" si="7"/>
        <v>4.1</v>
      </c>
      <c r="M138" s="150">
        <v>2.4</v>
      </c>
      <c r="N138" s="152">
        <v>0</v>
      </c>
      <c r="O138" s="150">
        <v>1.7</v>
      </c>
      <c r="P138" s="153">
        <v>0</v>
      </c>
      <c r="Q138" s="152">
        <v>0</v>
      </c>
      <c r="R138" s="157">
        <v>64.5</v>
      </c>
      <c r="S138" s="158">
        <v>13.5</v>
      </c>
      <c r="T138" s="139" t="s">
        <v>32</v>
      </c>
      <c r="U138" s="151">
        <v>0</v>
      </c>
      <c r="V138" s="150">
        <v>0.3</v>
      </c>
    </row>
    <row r="139" spans="1:22" ht="15.75" customHeight="1">
      <c r="A139" s="113">
        <f t="shared" si="6"/>
        <v>134</v>
      </c>
      <c r="B139" s="139" t="s">
        <v>463</v>
      </c>
      <c r="C139" s="140" t="s">
        <v>464</v>
      </c>
      <c r="D139" s="141" t="s">
        <v>27</v>
      </c>
      <c r="E139" s="141" t="s">
        <v>28</v>
      </c>
      <c r="F139" s="141" t="s">
        <v>465</v>
      </c>
      <c r="G139" s="114">
        <v>430725</v>
      </c>
      <c r="H139" s="114" t="s">
        <v>30</v>
      </c>
      <c r="I139" s="141" t="s">
        <v>466</v>
      </c>
      <c r="J139" s="150">
        <f>14.92*2</f>
        <v>29.84</v>
      </c>
      <c r="K139" s="159">
        <v>76</v>
      </c>
      <c r="L139" s="150">
        <f t="shared" si="7"/>
        <v>5.1</v>
      </c>
      <c r="M139" s="150">
        <v>4.6</v>
      </c>
      <c r="N139" s="152">
        <v>0</v>
      </c>
      <c r="O139" s="150">
        <v>0.5</v>
      </c>
      <c r="P139" s="153">
        <v>0</v>
      </c>
      <c r="Q139" s="152">
        <v>0</v>
      </c>
      <c r="R139" s="157">
        <v>44.3</v>
      </c>
      <c r="S139" s="158">
        <v>12.08</v>
      </c>
      <c r="T139" s="139" t="s">
        <v>32</v>
      </c>
      <c r="U139" s="151">
        <v>0</v>
      </c>
      <c r="V139" s="150">
        <v>0.6</v>
      </c>
    </row>
    <row r="140" spans="1:22" ht="15.75" customHeight="1">
      <c r="A140" s="113">
        <f t="shared" si="6"/>
        <v>135</v>
      </c>
      <c r="B140" s="139" t="s">
        <v>467</v>
      </c>
      <c r="C140" s="140" t="s">
        <v>468</v>
      </c>
      <c r="D140" s="141" t="s">
        <v>27</v>
      </c>
      <c r="E140" s="141" t="s">
        <v>28</v>
      </c>
      <c r="F140" s="141" t="s">
        <v>469</v>
      </c>
      <c r="G140" s="114">
        <v>430725</v>
      </c>
      <c r="H140" s="114" t="s">
        <v>30</v>
      </c>
      <c r="I140" s="141" t="s">
        <v>470</v>
      </c>
      <c r="J140" s="150">
        <f>13.99*2</f>
        <v>27.98</v>
      </c>
      <c r="K140" s="159">
        <v>79</v>
      </c>
      <c r="L140" s="150">
        <f t="shared" si="7"/>
        <v>3.6</v>
      </c>
      <c r="M140" s="150">
        <v>2.1</v>
      </c>
      <c r="N140" s="152">
        <v>0</v>
      </c>
      <c r="O140" s="150">
        <v>1.4</v>
      </c>
      <c r="P140" s="153">
        <v>0.1</v>
      </c>
      <c r="Q140" s="152">
        <v>0</v>
      </c>
      <c r="R140" s="157">
        <v>39.1</v>
      </c>
      <c r="S140" s="158">
        <v>12.12</v>
      </c>
      <c r="T140" s="139" t="s">
        <v>32</v>
      </c>
      <c r="U140" s="151">
        <v>0</v>
      </c>
      <c r="V140" s="150">
        <v>0.7</v>
      </c>
    </row>
    <row r="141" spans="1:22" ht="15.75" customHeight="1">
      <c r="A141" s="113">
        <f t="shared" si="6"/>
        <v>136</v>
      </c>
      <c r="B141" s="139" t="s">
        <v>471</v>
      </c>
      <c r="C141" s="140" t="s">
        <v>472</v>
      </c>
      <c r="D141" s="141" t="s">
        <v>27</v>
      </c>
      <c r="E141" s="141" t="s">
        <v>28</v>
      </c>
      <c r="F141" s="141" t="s">
        <v>473</v>
      </c>
      <c r="G141" s="114">
        <v>430725</v>
      </c>
      <c r="H141" s="114" t="s">
        <v>30</v>
      </c>
      <c r="I141" s="141" t="s">
        <v>474</v>
      </c>
      <c r="J141" s="150">
        <f>12.75*2</f>
        <v>25.5</v>
      </c>
      <c r="K141" s="159">
        <v>78.3</v>
      </c>
      <c r="L141" s="150">
        <f t="shared" si="7"/>
        <v>6.1</v>
      </c>
      <c r="M141" s="150">
        <v>3.8</v>
      </c>
      <c r="N141" s="152">
        <v>0</v>
      </c>
      <c r="O141" s="150">
        <v>2.3</v>
      </c>
      <c r="P141" s="153">
        <v>0</v>
      </c>
      <c r="Q141" s="152">
        <v>0</v>
      </c>
      <c r="R141" s="157">
        <v>54.2</v>
      </c>
      <c r="S141" s="158">
        <v>13.49</v>
      </c>
      <c r="T141" s="139" t="s">
        <v>32</v>
      </c>
      <c r="U141" s="151">
        <v>0</v>
      </c>
      <c r="V141" s="150">
        <v>0</v>
      </c>
    </row>
    <row r="142" spans="1:22" ht="15.75" customHeight="1">
      <c r="A142" s="113">
        <f t="shared" si="6"/>
        <v>137</v>
      </c>
      <c r="B142" s="139" t="s">
        <v>475</v>
      </c>
      <c r="C142" s="140" t="s">
        <v>476</v>
      </c>
      <c r="D142" s="141" t="s">
        <v>27</v>
      </c>
      <c r="E142" s="141" t="s">
        <v>28</v>
      </c>
      <c r="F142" s="141" t="s">
        <v>477</v>
      </c>
      <c r="G142" s="114">
        <v>430725</v>
      </c>
      <c r="H142" s="114" t="s">
        <v>30</v>
      </c>
      <c r="I142" s="141" t="s">
        <v>119</v>
      </c>
      <c r="J142" s="150">
        <f>14.1*2</f>
        <v>28.2</v>
      </c>
      <c r="K142" s="159">
        <v>73.1</v>
      </c>
      <c r="L142" s="150">
        <f t="shared" si="7"/>
        <v>8.9</v>
      </c>
      <c r="M142" s="150">
        <v>6.5</v>
      </c>
      <c r="N142" s="152">
        <v>0</v>
      </c>
      <c r="O142" s="150">
        <v>2.4</v>
      </c>
      <c r="P142" s="153">
        <v>0</v>
      </c>
      <c r="Q142" s="152">
        <v>0</v>
      </c>
      <c r="R142" s="157">
        <v>40.5</v>
      </c>
      <c r="S142" s="158">
        <v>13.37</v>
      </c>
      <c r="T142" s="139" t="s">
        <v>32</v>
      </c>
      <c r="U142" s="151">
        <v>0</v>
      </c>
      <c r="V142" s="150">
        <v>0.9</v>
      </c>
    </row>
    <row r="143" spans="1:22" ht="15.75" customHeight="1">
      <c r="A143" s="113">
        <f t="shared" si="6"/>
        <v>138</v>
      </c>
      <c r="B143" s="139" t="s">
        <v>478</v>
      </c>
      <c r="C143" s="140" t="s">
        <v>479</v>
      </c>
      <c r="D143" s="141" t="s">
        <v>27</v>
      </c>
      <c r="E143" s="141" t="s">
        <v>28</v>
      </c>
      <c r="F143" s="141" t="s">
        <v>480</v>
      </c>
      <c r="G143" s="114">
        <v>430725</v>
      </c>
      <c r="H143" s="114" t="s">
        <v>30</v>
      </c>
      <c r="I143" s="141" t="s">
        <v>106</v>
      </c>
      <c r="J143" s="150">
        <f>13.37*2</f>
        <v>26.74</v>
      </c>
      <c r="K143" s="159">
        <v>79</v>
      </c>
      <c r="L143" s="150">
        <f t="shared" si="7"/>
        <v>4.7</v>
      </c>
      <c r="M143" s="150">
        <v>2.6</v>
      </c>
      <c r="N143" s="152">
        <v>0</v>
      </c>
      <c r="O143" s="150">
        <v>2.1</v>
      </c>
      <c r="P143" s="153">
        <v>0</v>
      </c>
      <c r="Q143" s="152">
        <v>0</v>
      </c>
      <c r="R143" s="157">
        <v>46.7</v>
      </c>
      <c r="S143" s="158">
        <v>11.57</v>
      </c>
      <c r="T143" s="139" t="s">
        <v>32</v>
      </c>
      <c r="U143" s="151">
        <v>0</v>
      </c>
      <c r="V143" s="150">
        <v>1.4</v>
      </c>
    </row>
    <row r="144" spans="1:22" ht="15.75" customHeight="1">
      <c r="A144" s="113">
        <f t="shared" si="6"/>
        <v>139</v>
      </c>
      <c r="B144" s="139" t="s">
        <v>481</v>
      </c>
      <c r="C144" s="140" t="s">
        <v>482</v>
      </c>
      <c r="D144" s="141" t="s">
        <v>27</v>
      </c>
      <c r="E144" s="141" t="s">
        <v>28</v>
      </c>
      <c r="F144" s="141" t="s">
        <v>483</v>
      </c>
      <c r="G144" s="114">
        <v>430725</v>
      </c>
      <c r="H144" s="114" t="s">
        <v>30</v>
      </c>
      <c r="I144" s="141" t="s">
        <v>470</v>
      </c>
      <c r="J144" s="150">
        <f>12.65*2</f>
        <v>25.3</v>
      </c>
      <c r="K144" s="159">
        <v>77.8</v>
      </c>
      <c r="L144" s="150">
        <f t="shared" si="7"/>
        <v>6.199999999999999</v>
      </c>
      <c r="M144" s="150">
        <v>5.1</v>
      </c>
      <c r="N144" s="152">
        <v>0</v>
      </c>
      <c r="O144" s="150">
        <v>1</v>
      </c>
      <c r="P144" s="153">
        <v>0.1</v>
      </c>
      <c r="Q144" s="152">
        <v>0</v>
      </c>
      <c r="R144" s="157">
        <v>46.9</v>
      </c>
      <c r="S144" s="158">
        <v>12.22</v>
      </c>
      <c r="T144" s="139" t="s">
        <v>32</v>
      </c>
      <c r="U144" s="151">
        <v>0</v>
      </c>
      <c r="V144" s="150">
        <v>0.5</v>
      </c>
    </row>
    <row r="145" spans="1:22" ht="15.75" customHeight="1">
      <c r="A145" s="113">
        <f t="shared" si="6"/>
        <v>140</v>
      </c>
      <c r="B145" s="139" t="s">
        <v>484</v>
      </c>
      <c r="C145" s="140" t="s">
        <v>485</v>
      </c>
      <c r="D145" s="141" t="s">
        <v>27</v>
      </c>
      <c r="E145" s="141" t="s">
        <v>28</v>
      </c>
      <c r="F145" s="141" t="s">
        <v>486</v>
      </c>
      <c r="G145" s="114">
        <v>430725</v>
      </c>
      <c r="H145" s="114" t="s">
        <v>30</v>
      </c>
      <c r="I145" s="141" t="s">
        <v>106</v>
      </c>
      <c r="J145" s="150">
        <f>14.81*2</f>
        <v>29.62</v>
      </c>
      <c r="K145" s="159">
        <v>77.4</v>
      </c>
      <c r="L145" s="150">
        <f t="shared" si="7"/>
        <v>3.3</v>
      </c>
      <c r="M145" s="150">
        <v>1.6</v>
      </c>
      <c r="N145" s="152">
        <v>0</v>
      </c>
      <c r="O145" s="150">
        <v>1.7</v>
      </c>
      <c r="P145" s="153">
        <v>0</v>
      </c>
      <c r="Q145" s="152">
        <v>0</v>
      </c>
      <c r="R145" s="157">
        <v>47.6</v>
      </c>
      <c r="S145" s="158">
        <v>12.94</v>
      </c>
      <c r="T145" s="139" t="s">
        <v>32</v>
      </c>
      <c r="U145" s="151">
        <v>0</v>
      </c>
      <c r="V145" s="150">
        <v>0.9</v>
      </c>
    </row>
    <row r="146" spans="1:22" ht="15.75" customHeight="1">
      <c r="A146" s="113">
        <f t="shared" si="6"/>
        <v>141</v>
      </c>
      <c r="B146" s="139" t="s">
        <v>487</v>
      </c>
      <c r="C146" s="140" t="s">
        <v>488</v>
      </c>
      <c r="D146" s="141" t="s">
        <v>27</v>
      </c>
      <c r="E146" s="141" t="s">
        <v>28</v>
      </c>
      <c r="F146" s="141" t="s">
        <v>489</v>
      </c>
      <c r="G146" s="114">
        <v>430725</v>
      </c>
      <c r="H146" s="114" t="s">
        <v>30</v>
      </c>
      <c r="I146" s="141" t="s">
        <v>490</v>
      </c>
      <c r="J146" s="150">
        <f>13.02*2</f>
        <v>26.04</v>
      </c>
      <c r="K146" s="159">
        <v>80.2</v>
      </c>
      <c r="L146" s="150">
        <f t="shared" si="7"/>
        <v>3.6</v>
      </c>
      <c r="M146" s="150">
        <v>2.7</v>
      </c>
      <c r="N146" s="152">
        <v>0</v>
      </c>
      <c r="O146" s="150">
        <v>0.9</v>
      </c>
      <c r="P146" s="153">
        <v>0</v>
      </c>
      <c r="Q146" s="152">
        <v>0</v>
      </c>
      <c r="R146" s="157">
        <v>58</v>
      </c>
      <c r="S146" s="158">
        <v>12.26</v>
      </c>
      <c r="T146" s="139" t="s">
        <v>32</v>
      </c>
      <c r="U146" s="151">
        <v>0</v>
      </c>
      <c r="V146" s="150">
        <v>0</v>
      </c>
    </row>
    <row r="147" spans="1:22" ht="15.75" customHeight="1">
      <c r="A147" s="113">
        <f t="shared" si="6"/>
        <v>142</v>
      </c>
      <c r="B147" s="139" t="s">
        <v>491</v>
      </c>
      <c r="C147" s="140" t="s">
        <v>492</v>
      </c>
      <c r="D147" s="141" t="s">
        <v>27</v>
      </c>
      <c r="E147" s="141" t="s">
        <v>28</v>
      </c>
      <c r="F147" s="141" t="s">
        <v>493</v>
      </c>
      <c r="G147" s="114">
        <v>430725</v>
      </c>
      <c r="H147" s="114" t="s">
        <v>30</v>
      </c>
      <c r="I147" s="141" t="s">
        <v>474</v>
      </c>
      <c r="J147" s="150">
        <f>11.96*2</f>
        <v>23.92</v>
      </c>
      <c r="K147" s="159">
        <v>77.2</v>
      </c>
      <c r="L147" s="150">
        <f t="shared" si="7"/>
        <v>4.5</v>
      </c>
      <c r="M147" s="150">
        <v>3.3</v>
      </c>
      <c r="N147" s="152">
        <v>0</v>
      </c>
      <c r="O147" s="150">
        <v>1.2</v>
      </c>
      <c r="P147" s="153">
        <v>0</v>
      </c>
      <c r="Q147" s="152">
        <v>0</v>
      </c>
      <c r="R147" s="157">
        <v>62.9</v>
      </c>
      <c r="S147" s="158">
        <v>12.06</v>
      </c>
      <c r="T147" s="139" t="s">
        <v>32</v>
      </c>
      <c r="U147" s="151">
        <v>0</v>
      </c>
      <c r="V147" s="150">
        <v>0</v>
      </c>
    </row>
    <row r="148" spans="1:22" ht="15.75" customHeight="1">
      <c r="A148" s="113">
        <f t="shared" si="6"/>
        <v>143</v>
      </c>
      <c r="B148" s="139" t="s">
        <v>494</v>
      </c>
      <c r="C148" s="140" t="s">
        <v>495</v>
      </c>
      <c r="D148" s="141" t="s">
        <v>27</v>
      </c>
      <c r="E148" s="141" t="s">
        <v>28</v>
      </c>
      <c r="F148" s="141" t="s">
        <v>496</v>
      </c>
      <c r="G148" s="114">
        <v>430725</v>
      </c>
      <c r="H148" s="114" t="s">
        <v>30</v>
      </c>
      <c r="I148" s="141" t="s">
        <v>470</v>
      </c>
      <c r="J148" s="150">
        <f>11.19*2</f>
        <v>22.38</v>
      </c>
      <c r="K148" s="159">
        <v>77</v>
      </c>
      <c r="L148" s="150">
        <f t="shared" si="7"/>
        <v>4.7</v>
      </c>
      <c r="M148" s="150">
        <v>2.6</v>
      </c>
      <c r="N148" s="152">
        <v>0</v>
      </c>
      <c r="O148" s="150">
        <v>1.9</v>
      </c>
      <c r="P148" s="153">
        <v>0.2</v>
      </c>
      <c r="Q148" s="152">
        <v>0</v>
      </c>
      <c r="R148" s="157">
        <v>49.7</v>
      </c>
      <c r="S148" s="158">
        <v>13.5</v>
      </c>
      <c r="T148" s="139" t="s">
        <v>32</v>
      </c>
      <c r="U148" s="151">
        <v>0</v>
      </c>
      <c r="V148" s="150">
        <v>0</v>
      </c>
    </row>
    <row r="149" spans="1:22" ht="15.75" customHeight="1">
      <c r="A149" s="113">
        <f t="shared" si="6"/>
        <v>144</v>
      </c>
      <c r="B149" s="139" t="s">
        <v>497</v>
      </c>
      <c r="C149" s="140" t="s">
        <v>498</v>
      </c>
      <c r="D149" s="141" t="s">
        <v>27</v>
      </c>
      <c r="E149" s="141" t="s">
        <v>28</v>
      </c>
      <c r="F149" s="141" t="s">
        <v>499</v>
      </c>
      <c r="G149" s="114">
        <v>430725</v>
      </c>
      <c r="H149" s="114" t="s">
        <v>30</v>
      </c>
      <c r="I149" s="141" t="s">
        <v>106</v>
      </c>
      <c r="J149" s="150">
        <f>12.19*2</f>
        <v>24.38</v>
      </c>
      <c r="K149" s="159">
        <v>79.5</v>
      </c>
      <c r="L149" s="150">
        <f t="shared" si="7"/>
        <v>2.8</v>
      </c>
      <c r="M149" s="150">
        <v>1.6</v>
      </c>
      <c r="N149" s="152">
        <v>0</v>
      </c>
      <c r="O149" s="150">
        <v>1.2</v>
      </c>
      <c r="P149" s="153">
        <v>0</v>
      </c>
      <c r="Q149" s="152">
        <v>0</v>
      </c>
      <c r="R149" s="157">
        <v>39.7</v>
      </c>
      <c r="S149" s="158">
        <v>11.18</v>
      </c>
      <c r="T149" s="139" t="s">
        <v>32</v>
      </c>
      <c r="U149" s="151">
        <v>0</v>
      </c>
      <c r="V149" s="150">
        <v>0.5</v>
      </c>
    </row>
    <row r="150" spans="1:22" ht="15.75" customHeight="1">
      <c r="A150" s="113">
        <f t="shared" si="6"/>
        <v>145</v>
      </c>
      <c r="B150" s="139" t="s">
        <v>500</v>
      </c>
      <c r="C150" s="140" t="s">
        <v>501</v>
      </c>
      <c r="D150" s="141" t="s">
        <v>27</v>
      </c>
      <c r="E150" s="141" t="s">
        <v>28</v>
      </c>
      <c r="F150" s="141" t="s">
        <v>502</v>
      </c>
      <c r="G150" s="114">
        <v>430725</v>
      </c>
      <c r="H150" s="114" t="s">
        <v>30</v>
      </c>
      <c r="I150" s="141" t="s">
        <v>359</v>
      </c>
      <c r="J150" s="150">
        <f>12.65*2</f>
        <v>25.3</v>
      </c>
      <c r="K150" s="159">
        <v>80.6</v>
      </c>
      <c r="L150" s="150">
        <f t="shared" si="7"/>
        <v>3.3</v>
      </c>
      <c r="M150" s="150">
        <v>1.8</v>
      </c>
      <c r="N150" s="152">
        <v>0</v>
      </c>
      <c r="O150" s="150">
        <v>1.5</v>
      </c>
      <c r="P150" s="153">
        <v>0</v>
      </c>
      <c r="Q150" s="152">
        <v>0</v>
      </c>
      <c r="R150" s="157">
        <v>61.8</v>
      </c>
      <c r="S150" s="158">
        <v>12.88</v>
      </c>
      <c r="T150" s="139" t="s">
        <v>32</v>
      </c>
      <c r="U150" s="151">
        <v>0</v>
      </c>
      <c r="V150" s="150">
        <v>2.2</v>
      </c>
    </row>
    <row r="151" spans="1:22" ht="15.75" customHeight="1">
      <c r="A151" s="113">
        <f aca="true" t="shared" si="8" ref="A151:A165">A150+1</f>
        <v>146</v>
      </c>
      <c r="B151" s="139" t="s">
        <v>503</v>
      </c>
      <c r="C151" s="140" t="s">
        <v>504</v>
      </c>
      <c r="D151" s="141" t="s">
        <v>27</v>
      </c>
      <c r="E151" s="141" t="s">
        <v>28</v>
      </c>
      <c r="F151" s="141" t="s">
        <v>505</v>
      </c>
      <c r="G151" s="114">
        <v>430725</v>
      </c>
      <c r="H151" s="114" t="s">
        <v>30</v>
      </c>
      <c r="I151" s="141" t="s">
        <v>506</v>
      </c>
      <c r="J151" s="150">
        <f>13.17*2</f>
        <v>26.34</v>
      </c>
      <c r="K151" s="159">
        <v>78.3</v>
      </c>
      <c r="L151" s="150">
        <f t="shared" si="7"/>
        <v>5</v>
      </c>
      <c r="M151" s="150">
        <v>1.7</v>
      </c>
      <c r="N151" s="152">
        <v>0</v>
      </c>
      <c r="O151" s="150">
        <v>3.2</v>
      </c>
      <c r="P151" s="153">
        <v>0.1</v>
      </c>
      <c r="Q151" s="152">
        <v>0</v>
      </c>
      <c r="R151" s="157">
        <v>51</v>
      </c>
      <c r="S151" s="158">
        <v>13.24</v>
      </c>
      <c r="T151" s="139" t="s">
        <v>32</v>
      </c>
      <c r="U151" s="151">
        <v>0</v>
      </c>
      <c r="V151" s="150">
        <v>0.9</v>
      </c>
    </row>
    <row r="152" spans="1:22" ht="15.75" customHeight="1">
      <c r="A152" s="113">
        <f t="shared" si="8"/>
        <v>147</v>
      </c>
      <c r="B152" s="139" t="s">
        <v>507</v>
      </c>
      <c r="C152" s="140" t="s">
        <v>508</v>
      </c>
      <c r="D152" s="141" t="s">
        <v>27</v>
      </c>
      <c r="E152" s="141" t="s">
        <v>28</v>
      </c>
      <c r="F152" s="141" t="s">
        <v>509</v>
      </c>
      <c r="G152" s="114">
        <v>430725</v>
      </c>
      <c r="H152" s="114" t="s">
        <v>30</v>
      </c>
      <c r="I152" s="141" t="s">
        <v>510</v>
      </c>
      <c r="J152" s="150">
        <f>13.76*2</f>
        <v>27.52</v>
      </c>
      <c r="K152" s="159">
        <v>77</v>
      </c>
      <c r="L152" s="150">
        <f t="shared" si="7"/>
        <v>7.5</v>
      </c>
      <c r="M152" s="150">
        <v>5.8</v>
      </c>
      <c r="N152" s="152">
        <v>0</v>
      </c>
      <c r="O152" s="150">
        <v>1.7</v>
      </c>
      <c r="P152" s="153">
        <v>0</v>
      </c>
      <c r="Q152" s="152">
        <v>0</v>
      </c>
      <c r="R152" s="157">
        <v>63.3</v>
      </c>
      <c r="S152" s="158">
        <v>13.5</v>
      </c>
      <c r="T152" s="139" t="s">
        <v>32</v>
      </c>
      <c r="U152" s="151">
        <v>0</v>
      </c>
      <c r="V152" s="150">
        <v>1.2</v>
      </c>
    </row>
    <row r="153" spans="1:22" ht="15.75" customHeight="1">
      <c r="A153" s="113">
        <f t="shared" si="8"/>
        <v>148</v>
      </c>
      <c r="B153" s="139" t="s">
        <v>511</v>
      </c>
      <c r="C153" s="140" t="s">
        <v>512</v>
      </c>
      <c r="D153" s="141" t="s">
        <v>27</v>
      </c>
      <c r="E153" s="141" t="s">
        <v>28</v>
      </c>
      <c r="F153" s="141" t="s">
        <v>513</v>
      </c>
      <c r="G153" s="114">
        <v>430725</v>
      </c>
      <c r="H153" s="114" t="s">
        <v>30</v>
      </c>
      <c r="I153" s="141" t="s">
        <v>506</v>
      </c>
      <c r="J153" s="150">
        <f>13.81*2</f>
        <v>27.62</v>
      </c>
      <c r="K153" s="159">
        <v>77.1</v>
      </c>
      <c r="L153" s="150">
        <f t="shared" si="7"/>
        <v>7.3</v>
      </c>
      <c r="M153" s="150">
        <v>4.8</v>
      </c>
      <c r="N153" s="152">
        <v>0</v>
      </c>
      <c r="O153" s="150">
        <v>2.5</v>
      </c>
      <c r="P153" s="153">
        <v>0</v>
      </c>
      <c r="Q153" s="152">
        <v>0</v>
      </c>
      <c r="R153" s="157">
        <v>56.6</v>
      </c>
      <c r="S153" s="158">
        <v>13.1</v>
      </c>
      <c r="T153" s="139" t="s">
        <v>32</v>
      </c>
      <c r="U153" s="151">
        <v>0</v>
      </c>
      <c r="V153" s="150">
        <v>2.2</v>
      </c>
    </row>
    <row r="154" spans="1:22" ht="15.75" customHeight="1">
      <c r="A154" s="113">
        <f t="shared" si="8"/>
        <v>149</v>
      </c>
      <c r="B154" s="139" t="s">
        <v>514</v>
      </c>
      <c r="C154" s="140" t="s">
        <v>515</v>
      </c>
      <c r="D154" s="141" t="s">
        <v>27</v>
      </c>
      <c r="E154" s="141" t="s">
        <v>28</v>
      </c>
      <c r="F154" s="141" t="s">
        <v>516</v>
      </c>
      <c r="G154" s="114">
        <v>430702</v>
      </c>
      <c r="H154" s="114" t="s">
        <v>30</v>
      </c>
      <c r="I154" s="141" t="s">
        <v>64</v>
      </c>
      <c r="J154" s="150">
        <f>11.12*2</f>
        <v>22.24</v>
      </c>
      <c r="K154" s="159">
        <v>77.6</v>
      </c>
      <c r="L154" s="150">
        <f t="shared" si="7"/>
        <v>2.1</v>
      </c>
      <c r="M154" s="150">
        <v>2</v>
      </c>
      <c r="N154" s="152">
        <v>0</v>
      </c>
      <c r="O154" s="150">
        <v>0.1</v>
      </c>
      <c r="P154" s="153">
        <v>0</v>
      </c>
      <c r="Q154" s="152">
        <v>0</v>
      </c>
      <c r="R154" s="157">
        <v>59</v>
      </c>
      <c r="S154" s="158">
        <v>13.44</v>
      </c>
      <c r="T154" s="139" t="s">
        <v>32</v>
      </c>
      <c r="U154" s="151">
        <v>0</v>
      </c>
      <c r="V154" s="150">
        <v>0.4</v>
      </c>
    </row>
    <row r="155" spans="1:22" ht="15.75" customHeight="1">
      <c r="A155" s="113">
        <f t="shared" si="8"/>
        <v>150</v>
      </c>
      <c r="B155" s="139" t="s">
        <v>517</v>
      </c>
      <c r="C155" s="140" t="s">
        <v>518</v>
      </c>
      <c r="D155" s="141" t="s">
        <v>27</v>
      </c>
      <c r="E155" s="141" t="s">
        <v>28</v>
      </c>
      <c r="F155" s="141" t="s">
        <v>519</v>
      </c>
      <c r="G155" s="114">
        <v>430702</v>
      </c>
      <c r="H155" s="114" t="s">
        <v>30</v>
      </c>
      <c r="I155" s="141" t="s">
        <v>119</v>
      </c>
      <c r="J155" s="150">
        <f>12.02*2</f>
        <v>24.04</v>
      </c>
      <c r="K155" s="159">
        <v>77.7</v>
      </c>
      <c r="L155" s="150">
        <f t="shared" si="7"/>
        <v>3.8</v>
      </c>
      <c r="M155" s="150">
        <v>3.3</v>
      </c>
      <c r="N155" s="152">
        <v>0</v>
      </c>
      <c r="O155" s="150">
        <v>0.5</v>
      </c>
      <c r="P155" s="153">
        <v>0</v>
      </c>
      <c r="Q155" s="152">
        <v>0</v>
      </c>
      <c r="R155" s="157">
        <v>67.4</v>
      </c>
      <c r="S155" s="158">
        <v>12.27</v>
      </c>
      <c r="T155" s="139" t="s">
        <v>32</v>
      </c>
      <c r="U155" s="151">
        <v>0</v>
      </c>
      <c r="V155" s="150">
        <v>0.1</v>
      </c>
    </row>
    <row r="156" spans="1:22" ht="15.75" customHeight="1">
      <c r="A156" s="113">
        <f t="shared" si="8"/>
        <v>151</v>
      </c>
      <c r="B156" s="139" t="s">
        <v>520</v>
      </c>
      <c r="C156" s="140" t="s">
        <v>521</v>
      </c>
      <c r="D156" s="141" t="s">
        <v>27</v>
      </c>
      <c r="E156" s="141" t="s">
        <v>28</v>
      </c>
      <c r="F156" s="141" t="s">
        <v>522</v>
      </c>
      <c r="G156" s="114">
        <v>430702</v>
      </c>
      <c r="H156" s="114" t="s">
        <v>30</v>
      </c>
      <c r="I156" s="141" t="s">
        <v>64</v>
      </c>
      <c r="J156" s="150">
        <f>12.22*2</f>
        <v>24.44</v>
      </c>
      <c r="K156" s="159">
        <v>75.2</v>
      </c>
      <c r="L156" s="150">
        <f t="shared" si="7"/>
        <v>7.7</v>
      </c>
      <c r="M156" s="150">
        <v>7.3</v>
      </c>
      <c r="N156" s="152">
        <v>0</v>
      </c>
      <c r="O156" s="150">
        <v>0.4</v>
      </c>
      <c r="P156" s="153">
        <v>0</v>
      </c>
      <c r="Q156" s="152">
        <v>0</v>
      </c>
      <c r="R156" s="157">
        <v>59.5</v>
      </c>
      <c r="S156" s="158">
        <v>12.44</v>
      </c>
      <c r="T156" s="139" t="s">
        <v>32</v>
      </c>
      <c r="U156" s="151">
        <v>0</v>
      </c>
      <c r="V156" s="150">
        <v>0</v>
      </c>
    </row>
    <row r="157" spans="1:22" ht="15.75" customHeight="1">
      <c r="A157" s="113">
        <f t="shared" si="8"/>
        <v>152</v>
      </c>
      <c r="B157" s="139" t="s">
        <v>523</v>
      </c>
      <c r="C157" s="140" t="s">
        <v>524</v>
      </c>
      <c r="D157" s="141" t="s">
        <v>27</v>
      </c>
      <c r="E157" s="141" t="s">
        <v>28</v>
      </c>
      <c r="F157" s="141" t="s">
        <v>525</v>
      </c>
      <c r="G157" s="114">
        <v>430702</v>
      </c>
      <c r="H157" s="114" t="s">
        <v>30</v>
      </c>
      <c r="I157" s="141" t="s">
        <v>64</v>
      </c>
      <c r="J157" s="150">
        <f>11.43*2</f>
        <v>22.86</v>
      </c>
      <c r="K157" s="159">
        <v>79</v>
      </c>
      <c r="L157" s="150">
        <f t="shared" si="7"/>
        <v>3.2</v>
      </c>
      <c r="M157" s="150">
        <v>2.7</v>
      </c>
      <c r="N157" s="152">
        <v>0</v>
      </c>
      <c r="O157" s="150">
        <v>0.5</v>
      </c>
      <c r="P157" s="153">
        <v>0</v>
      </c>
      <c r="Q157" s="152">
        <v>0</v>
      </c>
      <c r="R157" s="157">
        <v>62.4</v>
      </c>
      <c r="S157" s="158">
        <v>12.54</v>
      </c>
      <c r="T157" s="139" t="s">
        <v>32</v>
      </c>
      <c r="U157" s="151">
        <v>0</v>
      </c>
      <c r="V157" s="150">
        <v>0.1</v>
      </c>
    </row>
    <row r="158" spans="1:22" ht="15.75" customHeight="1">
      <c r="A158" s="113">
        <f t="shared" si="8"/>
        <v>153</v>
      </c>
      <c r="B158" s="139" t="s">
        <v>526</v>
      </c>
      <c r="C158" s="140" t="s">
        <v>527</v>
      </c>
      <c r="D158" s="141" t="s">
        <v>27</v>
      </c>
      <c r="E158" s="141" t="s">
        <v>28</v>
      </c>
      <c r="F158" s="141" t="s">
        <v>528</v>
      </c>
      <c r="G158" s="114">
        <v>430702</v>
      </c>
      <c r="H158" s="114" t="s">
        <v>30</v>
      </c>
      <c r="I158" s="141" t="s">
        <v>119</v>
      </c>
      <c r="J158" s="150">
        <f>11.66*2</f>
        <v>23.32</v>
      </c>
      <c r="K158" s="159">
        <v>79.5</v>
      </c>
      <c r="L158" s="150">
        <f t="shared" si="7"/>
        <v>1</v>
      </c>
      <c r="M158" s="150">
        <v>0.4</v>
      </c>
      <c r="N158" s="152">
        <v>0</v>
      </c>
      <c r="O158" s="150">
        <v>0.4</v>
      </c>
      <c r="P158" s="153">
        <v>0.2</v>
      </c>
      <c r="Q158" s="152">
        <v>0</v>
      </c>
      <c r="R158" s="157">
        <v>61.6</v>
      </c>
      <c r="S158" s="158">
        <v>13.37</v>
      </c>
      <c r="T158" s="139" t="s">
        <v>32</v>
      </c>
      <c r="U158" s="151">
        <v>0</v>
      </c>
      <c r="V158" s="150">
        <v>1.2</v>
      </c>
    </row>
    <row r="159" spans="1:22" ht="15.75" customHeight="1">
      <c r="A159" s="113">
        <f t="shared" si="8"/>
        <v>154</v>
      </c>
      <c r="B159" s="139" t="s">
        <v>529</v>
      </c>
      <c r="C159" s="140" t="s">
        <v>530</v>
      </c>
      <c r="D159" s="141" t="s">
        <v>27</v>
      </c>
      <c r="E159" s="141" t="s">
        <v>28</v>
      </c>
      <c r="F159" s="141" t="s">
        <v>531</v>
      </c>
      <c r="G159" s="114">
        <v>430702</v>
      </c>
      <c r="H159" s="114" t="s">
        <v>30</v>
      </c>
      <c r="I159" s="141" t="s">
        <v>64</v>
      </c>
      <c r="J159" s="150">
        <f>12.31*2</f>
        <v>24.62</v>
      </c>
      <c r="K159" s="159">
        <v>77.8</v>
      </c>
      <c r="L159" s="150">
        <f t="shared" si="7"/>
        <v>3.7</v>
      </c>
      <c r="M159" s="150">
        <v>3.5</v>
      </c>
      <c r="N159" s="152">
        <v>0</v>
      </c>
      <c r="O159" s="150">
        <v>0.2</v>
      </c>
      <c r="P159" s="153">
        <v>0</v>
      </c>
      <c r="Q159" s="152">
        <v>0</v>
      </c>
      <c r="R159" s="157">
        <v>52.5</v>
      </c>
      <c r="S159" s="158">
        <v>13.5</v>
      </c>
      <c r="T159" s="139" t="s">
        <v>32</v>
      </c>
      <c r="U159" s="151">
        <v>0</v>
      </c>
      <c r="V159" s="150">
        <v>0.3</v>
      </c>
    </row>
    <row r="160" spans="1:22" ht="15.75" customHeight="1">
      <c r="A160" s="113">
        <f t="shared" si="8"/>
        <v>155</v>
      </c>
      <c r="B160" s="139" t="s">
        <v>532</v>
      </c>
      <c r="C160" s="140" t="s">
        <v>533</v>
      </c>
      <c r="D160" s="141" t="s">
        <v>27</v>
      </c>
      <c r="E160" s="141" t="s">
        <v>28</v>
      </c>
      <c r="F160" s="141" t="s">
        <v>534</v>
      </c>
      <c r="G160" s="114">
        <v>430702</v>
      </c>
      <c r="H160" s="114" t="s">
        <v>30</v>
      </c>
      <c r="I160" s="141" t="s">
        <v>64</v>
      </c>
      <c r="J160" s="150">
        <f>13.25*2</f>
        <v>26.5</v>
      </c>
      <c r="K160" s="159">
        <v>76.1</v>
      </c>
      <c r="L160" s="150">
        <f t="shared" si="7"/>
        <v>4.3</v>
      </c>
      <c r="M160" s="150">
        <v>3.4</v>
      </c>
      <c r="N160" s="152">
        <v>0</v>
      </c>
      <c r="O160" s="150">
        <v>0.9</v>
      </c>
      <c r="P160" s="153">
        <v>0</v>
      </c>
      <c r="Q160" s="152">
        <v>0</v>
      </c>
      <c r="R160" s="157">
        <v>61</v>
      </c>
      <c r="S160" s="158">
        <v>12.32</v>
      </c>
      <c r="T160" s="139" t="s">
        <v>32</v>
      </c>
      <c r="U160" s="151">
        <v>0</v>
      </c>
      <c r="V160" s="150">
        <v>1.1</v>
      </c>
    </row>
    <row r="161" spans="1:22" ht="15.75" customHeight="1">
      <c r="A161" s="113">
        <f t="shared" si="8"/>
        <v>156</v>
      </c>
      <c r="B161" s="139" t="s">
        <v>535</v>
      </c>
      <c r="C161" s="140" t="s">
        <v>536</v>
      </c>
      <c r="D161" s="141" t="s">
        <v>27</v>
      </c>
      <c r="E161" s="141" t="s">
        <v>28</v>
      </c>
      <c r="F161" s="141" t="s">
        <v>534</v>
      </c>
      <c r="G161" s="114">
        <v>430702</v>
      </c>
      <c r="H161" s="114" t="s">
        <v>30</v>
      </c>
      <c r="I161" s="141" t="s">
        <v>64</v>
      </c>
      <c r="J161" s="150">
        <f>13.52*2</f>
        <v>27.04</v>
      </c>
      <c r="K161" s="159">
        <v>76.7</v>
      </c>
      <c r="L161" s="150">
        <f t="shared" si="7"/>
        <v>6.3</v>
      </c>
      <c r="M161" s="150">
        <v>6.3</v>
      </c>
      <c r="N161" s="152">
        <v>0</v>
      </c>
      <c r="O161" s="150">
        <v>0</v>
      </c>
      <c r="P161" s="153">
        <v>0</v>
      </c>
      <c r="Q161" s="152">
        <v>0</v>
      </c>
      <c r="R161" s="157">
        <v>61.5</v>
      </c>
      <c r="S161" s="158">
        <v>12.68</v>
      </c>
      <c r="T161" s="139" t="s">
        <v>32</v>
      </c>
      <c r="U161" s="151">
        <v>0</v>
      </c>
      <c r="V161" s="150">
        <v>0.3</v>
      </c>
    </row>
    <row r="162" spans="1:22" ht="15.75" customHeight="1">
      <c r="A162" s="113">
        <f t="shared" si="8"/>
        <v>157</v>
      </c>
      <c r="B162" s="139" t="s">
        <v>537</v>
      </c>
      <c r="C162" s="140" t="s">
        <v>538</v>
      </c>
      <c r="D162" s="141" t="s">
        <v>27</v>
      </c>
      <c r="E162" s="141" t="s">
        <v>28</v>
      </c>
      <c r="F162" s="141" t="s">
        <v>539</v>
      </c>
      <c r="G162" s="114">
        <v>430702</v>
      </c>
      <c r="H162" s="114" t="s">
        <v>30</v>
      </c>
      <c r="I162" s="141" t="s">
        <v>40</v>
      </c>
      <c r="J162" s="150">
        <f>10.52*2</f>
        <v>21.04</v>
      </c>
      <c r="K162" s="159">
        <v>78.5</v>
      </c>
      <c r="L162" s="150">
        <f t="shared" si="7"/>
        <v>0.9</v>
      </c>
      <c r="M162" s="150">
        <v>0.5</v>
      </c>
      <c r="N162" s="152">
        <v>0</v>
      </c>
      <c r="O162" s="150">
        <v>0.4</v>
      </c>
      <c r="P162" s="153">
        <v>0</v>
      </c>
      <c r="Q162" s="152">
        <v>0</v>
      </c>
      <c r="R162" s="157">
        <v>50.8</v>
      </c>
      <c r="S162" s="158">
        <v>13.26</v>
      </c>
      <c r="T162" s="139" t="s">
        <v>32</v>
      </c>
      <c r="U162" s="151">
        <v>0</v>
      </c>
      <c r="V162" s="150">
        <v>1.1</v>
      </c>
    </row>
    <row r="163" spans="1:22" ht="15.75" customHeight="1">
      <c r="A163" s="113">
        <f t="shared" si="8"/>
        <v>158</v>
      </c>
      <c r="B163" s="139" t="s">
        <v>540</v>
      </c>
      <c r="C163" s="140" t="s">
        <v>541</v>
      </c>
      <c r="D163" s="141" t="s">
        <v>27</v>
      </c>
      <c r="E163" s="141" t="s">
        <v>28</v>
      </c>
      <c r="F163" s="141" t="s">
        <v>534</v>
      </c>
      <c r="G163" s="114">
        <v>430702</v>
      </c>
      <c r="H163" s="114" t="s">
        <v>30</v>
      </c>
      <c r="I163" s="141" t="s">
        <v>64</v>
      </c>
      <c r="J163" s="150">
        <f>13.9*2</f>
        <v>27.8</v>
      </c>
      <c r="K163" s="159">
        <v>78.5</v>
      </c>
      <c r="L163" s="150">
        <f t="shared" si="7"/>
        <v>4</v>
      </c>
      <c r="M163" s="150">
        <v>4</v>
      </c>
      <c r="N163" s="152">
        <v>0</v>
      </c>
      <c r="O163" s="150">
        <v>0</v>
      </c>
      <c r="P163" s="153">
        <v>0</v>
      </c>
      <c r="Q163" s="152">
        <v>0</v>
      </c>
      <c r="R163" s="157">
        <v>56.8</v>
      </c>
      <c r="S163" s="158">
        <v>12.08</v>
      </c>
      <c r="T163" s="139" t="s">
        <v>32</v>
      </c>
      <c r="U163" s="151">
        <v>0</v>
      </c>
      <c r="V163" s="150">
        <v>0.6</v>
      </c>
    </row>
    <row r="164" spans="1:22" ht="15.75" customHeight="1">
      <c r="A164" s="113">
        <f t="shared" si="8"/>
        <v>159</v>
      </c>
      <c r="B164" s="139" t="s">
        <v>542</v>
      </c>
      <c r="C164" s="140" t="s">
        <v>543</v>
      </c>
      <c r="D164" s="141" t="s">
        <v>27</v>
      </c>
      <c r="E164" s="141" t="s">
        <v>28</v>
      </c>
      <c r="F164" s="141" t="s">
        <v>544</v>
      </c>
      <c r="G164" s="114">
        <v>430702</v>
      </c>
      <c r="H164" s="114" t="s">
        <v>30</v>
      </c>
      <c r="I164" s="141" t="s">
        <v>545</v>
      </c>
      <c r="J164" s="150">
        <f>11.2*2</f>
        <v>22.4</v>
      </c>
      <c r="K164" s="159">
        <v>77.7</v>
      </c>
      <c r="L164" s="150">
        <f t="shared" si="7"/>
        <v>4.9</v>
      </c>
      <c r="M164" s="150">
        <v>3.1</v>
      </c>
      <c r="N164" s="152">
        <v>0</v>
      </c>
      <c r="O164" s="150">
        <v>1.8</v>
      </c>
      <c r="P164" s="153">
        <v>0</v>
      </c>
      <c r="Q164" s="152">
        <v>0</v>
      </c>
      <c r="R164" s="157">
        <v>67.3</v>
      </c>
      <c r="S164" s="158">
        <v>10.29</v>
      </c>
      <c r="T164" s="139" t="s">
        <v>32</v>
      </c>
      <c r="U164" s="151">
        <v>0</v>
      </c>
      <c r="V164" s="150">
        <v>0.1</v>
      </c>
    </row>
    <row r="165" spans="1:22" ht="15.75" customHeight="1">
      <c r="A165" s="113">
        <f t="shared" si="8"/>
        <v>160</v>
      </c>
      <c r="B165" s="139" t="s">
        <v>546</v>
      </c>
      <c r="C165" s="140" t="s">
        <v>547</v>
      </c>
      <c r="D165" s="141" t="s">
        <v>27</v>
      </c>
      <c r="E165" s="141" t="s">
        <v>28</v>
      </c>
      <c r="F165" s="141" t="s">
        <v>548</v>
      </c>
      <c r="G165" s="114">
        <v>430702</v>
      </c>
      <c r="H165" s="114" t="s">
        <v>30</v>
      </c>
      <c r="I165" s="141" t="s">
        <v>119</v>
      </c>
      <c r="J165" s="150">
        <v>25.68</v>
      </c>
      <c r="K165" s="159">
        <v>79.7</v>
      </c>
      <c r="L165" s="150">
        <f t="shared" si="7"/>
        <v>3</v>
      </c>
      <c r="M165" s="150">
        <v>2.3</v>
      </c>
      <c r="N165" s="150">
        <v>0</v>
      </c>
      <c r="O165" s="150">
        <v>0.6</v>
      </c>
      <c r="P165" s="153">
        <v>0.1</v>
      </c>
      <c r="Q165" s="152">
        <v>0</v>
      </c>
      <c r="R165" s="157">
        <v>55.2</v>
      </c>
      <c r="S165" s="158">
        <v>12.65</v>
      </c>
      <c r="T165" s="139" t="s">
        <v>32</v>
      </c>
      <c r="U165" s="151">
        <v>0</v>
      </c>
      <c r="V165" s="150">
        <v>0.36</v>
      </c>
    </row>
    <row r="166" spans="1:22" ht="42.75" customHeight="1">
      <c r="A166" s="160" t="s">
        <v>549</v>
      </c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2"/>
      <c r="M166" s="162"/>
      <c r="N166" s="163"/>
      <c r="O166" s="164"/>
      <c r="P166" s="165"/>
      <c r="Q166" s="165"/>
      <c r="R166" s="165"/>
      <c r="S166" s="166"/>
      <c r="T166" s="166"/>
      <c r="U166" s="165"/>
      <c r="V166" s="164"/>
    </row>
  </sheetData>
  <sheetProtection/>
  <mergeCells count="20">
    <mergeCell ref="A1:D1"/>
    <mergeCell ref="A2:V2"/>
    <mergeCell ref="L4:Q4"/>
    <mergeCell ref="A166:M16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T4:T5"/>
    <mergeCell ref="U4:U5"/>
    <mergeCell ref="V4:V5"/>
  </mergeCells>
  <printOptions horizontalCentered="1"/>
  <pageMargins left="0.59" right="0.55" top="0.75" bottom="0.75" header="0.31" footer="0.31"/>
  <pageSetup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showGridLines="0" workbookViewId="0" topLeftCell="A1">
      <selection activeCell="N19" sqref="N19"/>
    </sheetView>
  </sheetViews>
  <sheetFormatPr defaultColWidth="9.00390625" defaultRowHeight="14.25"/>
  <cols>
    <col min="1" max="1" width="6.375" style="101" customWidth="1"/>
    <col min="2" max="2" width="7.625" style="102" customWidth="1"/>
    <col min="3" max="3" width="8.875" style="102" customWidth="1"/>
    <col min="4" max="4" width="6.375" style="102" customWidth="1"/>
    <col min="5" max="5" width="7.625" style="102" customWidth="1"/>
    <col min="6" max="6" width="22.75390625" style="102" customWidth="1"/>
    <col min="7" max="7" width="8.00390625" style="102" customWidth="1"/>
    <col min="8" max="8" width="8.375" style="102" customWidth="1"/>
    <col min="9" max="9" width="8.50390625" style="102" customWidth="1"/>
    <col min="10" max="10" width="9.375" style="102" customWidth="1"/>
    <col min="11" max="11" width="8.25390625" style="103" customWidth="1"/>
    <col min="12" max="14" width="8.875" style="103" customWidth="1"/>
    <col min="15" max="15" width="7.375" style="102" customWidth="1"/>
    <col min="16" max="16" width="7.00390625" style="102" customWidth="1"/>
    <col min="17" max="17" width="8.375" style="104" customWidth="1"/>
    <col min="18" max="16384" width="9.00390625" style="105" customWidth="1"/>
  </cols>
  <sheetData>
    <row r="1" spans="1:4" ht="20.25">
      <c r="A1" s="106" t="s">
        <v>550</v>
      </c>
      <c r="B1" s="106"/>
      <c r="C1" s="106"/>
      <c r="D1" s="106"/>
    </row>
    <row r="2" spans="1:17" ht="36" customHeight="1">
      <c r="A2" s="107" t="s">
        <v>551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9.75" customHeight="1">
      <c r="A3" s="108"/>
      <c r="B3" s="109"/>
      <c r="C3" s="110"/>
      <c r="D3" s="109"/>
      <c r="E3" s="109"/>
      <c r="F3" s="109"/>
      <c r="G3" s="109"/>
      <c r="H3" s="109"/>
      <c r="I3" s="109"/>
      <c r="J3" s="109"/>
      <c r="K3" s="118"/>
      <c r="L3" s="118"/>
      <c r="M3" s="118"/>
      <c r="N3" s="118"/>
      <c r="O3" s="109"/>
      <c r="P3" s="109"/>
      <c r="Q3" s="130"/>
    </row>
    <row r="4" spans="1:17" s="101" customFormat="1" ht="22.5" customHeight="1">
      <c r="A4" s="111" t="s">
        <v>2</v>
      </c>
      <c r="B4" s="111" t="s">
        <v>3</v>
      </c>
      <c r="C4" s="111" t="s">
        <v>4</v>
      </c>
      <c r="D4" s="111" t="s">
        <v>5</v>
      </c>
      <c r="E4" s="111" t="s">
        <v>6</v>
      </c>
      <c r="F4" s="111" t="s">
        <v>7</v>
      </c>
      <c r="G4" s="112" t="s">
        <v>8</v>
      </c>
      <c r="H4" s="111" t="s">
        <v>9</v>
      </c>
      <c r="I4" s="111" t="s">
        <v>10</v>
      </c>
      <c r="J4" s="111" t="s">
        <v>552</v>
      </c>
      <c r="K4" s="119" t="s">
        <v>553</v>
      </c>
      <c r="L4" s="120" t="s">
        <v>554</v>
      </c>
      <c r="M4" s="120" t="s">
        <v>555</v>
      </c>
      <c r="N4" s="120" t="s">
        <v>556</v>
      </c>
      <c r="O4" s="111" t="s">
        <v>15</v>
      </c>
      <c r="P4" s="121" t="s">
        <v>557</v>
      </c>
      <c r="Q4" s="131" t="s">
        <v>558</v>
      </c>
    </row>
    <row r="5" spans="1:17" s="101" customFormat="1" ht="24" customHeight="1">
      <c r="A5" s="88"/>
      <c r="B5" s="88"/>
      <c r="C5" s="88"/>
      <c r="D5" s="88"/>
      <c r="E5" s="88"/>
      <c r="F5" s="88"/>
      <c r="G5" s="112"/>
      <c r="H5" s="88"/>
      <c r="I5" s="88"/>
      <c r="J5" s="88"/>
      <c r="K5" s="87"/>
      <c r="L5" s="122"/>
      <c r="M5" s="122"/>
      <c r="N5" s="122"/>
      <c r="O5" s="88"/>
      <c r="P5" s="123"/>
      <c r="Q5" s="132"/>
    </row>
    <row r="6" spans="1:17" ht="18" customHeight="1">
      <c r="A6" s="113"/>
      <c r="B6" s="114"/>
      <c r="C6" s="115"/>
      <c r="D6" s="114"/>
      <c r="E6" s="114"/>
      <c r="F6" s="116"/>
      <c r="G6" s="114"/>
      <c r="H6" s="114"/>
      <c r="I6" s="116"/>
      <c r="J6" s="124"/>
      <c r="K6" s="125"/>
      <c r="L6" s="126"/>
      <c r="M6" s="126"/>
      <c r="N6" s="126"/>
      <c r="O6" s="127"/>
      <c r="P6" s="116"/>
      <c r="Q6" s="116"/>
    </row>
    <row r="7" spans="1:17" ht="14.25">
      <c r="A7" s="113"/>
      <c r="B7" s="114"/>
      <c r="C7" s="115"/>
      <c r="D7" s="114"/>
      <c r="E7" s="114"/>
      <c r="F7" s="116"/>
      <c r="G7" s="114"/>
      <c r="H7" s="114"/>
      <c r="I7" s="116"/>
      <c r="J7" s="124"/>
      <c r="K7" s="125"/>
      <c r="L7" s="126"/>
      <c r="M7" s="128"/>
      <c r="N7" s="126"/>
      <c r="O7" s="127"/>
      <c r="P7" s="116"/>
      <c r="Q7" s="116"/>
    </row>
    <row r="8" spans="1:17" ht="18.75" customHeight="1">
      <c r="A8" s="113"/>
      <c r="B8" s="114"/>
      <c r="C8" s="115"/>
      <c r="D8" s="114"/>
      <c r="E8" s="114"/>
      <c r="F8" s="116"/>
      <c r="G8" s="114"/>
      <c r="H8" s="114"/>
      <c r="I8" s="116"/>
      <c r="J8" s="124"/>
      <c r="K8" s="125"/>
      <c r="L8" s="126"/>
      <c r="M8" s="126"/>
      <c r="N8" s="126"/>
      <c r="O8" s="127"/>
      <c r="P8" s="116"/>
      <c r="Q8" s="116"/>
    </row>
    <row r="9" spans="1:17" ht="18" customHeight="1">
      <c r="A9" s="113"/>
      <c r="B9" s="114"/>
      <c r="C9" s="115"/>
      <c r="D9" s="114"/>
      <c r="E9" s="114"/>
      <c r="F9" s="116"/>
      <c r="G9" s="114"/>
      <c r="H9" s="114"/>
      <c r="I9" s="116"/>
      <c r="J9" s="124"/>
      <c r="K9" s="129"/>
      <c r="L9" s="126"/>
      <c r="M9" s="128"/>
      <c r="N9" s="126"/>
      <c r="O9" s="127"/>
      <c r="P9" s="116"/>
      <c r="Q9" s="116"/>
    </row>
    <row r="10" spans="1:17" ht="21" customHeight="1">
      <c r="A10" s="113"/>
      <c r="B10" s="114"/>
      <c r="C10" s="115"/>
      <c r="D10" s="114"/>
      <c r="E10" s="114"/>
      <c r="F10" s="116"/>
      <c r="G10" s="114"/>
      <c r="H10" s="114"/>
      <c r="I10" s="116"/>
      <c r="J10" s="124"/>
      <c r="K10" s="125"/>
      <c r="L10" s="126"/>
      <c r="M10" s="128"/>
      <c r="N10" s="126"/>
      <c r="O10" s="127"/>
      <c r="P10" s="116"/>
      <c r="Q10" s="116"/>
    </row>
    <row r="11" spans="1:17" ht="15.75" customHeight="1">
      <c r="A11" s="117" t="s">
        <v>559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</sheetData>
  <sheetProtection/>
  <mergeCells count="20">
    <mergeCell ref="A1:D1"/>
    <mergeCell ref="A2:Q2"/>
    <mergeCell ref="A11:Q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1" right="0.71" top="0.75" bottom="0.75" header="0.31" footer="0.3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7"/>
  <sheetViews>
    <sheetView showGridLines="0" view="pageBreakPreview" zoomScaleNormal="85" zoomScaleSheetLayoutView="100" workbookViewId="0" topLeftCell="A2">
      <selection activeCell="P15" sqref="P15"/>
    </sheetView>
  </sheetViews>
  <sheetFormatPr defaultColWidth="9.00390625" defaultRowHeight="14.25"/>
  <cols>
    <col min="1" max="1" width="6.875" style="2" customWidth="1"/>
    <col min="2" max="2" width="7.50390625" style="2" bestFit="1" customWidth="1"/>
    <col min="3" max="3" width="5.625" style="2" customWidth="1"/>
    <col min="4" max="4" width="5.50390625" style="2" customWidth="1"/>
    <col min="5" max="5" width="5.25390625" style="2" customWidth="1"/>
    <col min="6" max="6" width="5.625" style="2" customWidth="1"/>
    <col min="7" max="7" width="6.00390625" style="2" customWidth="1"/>
    <col min="8" max="9" width="5.625" style="2" customWidth="1"/>
    <col min="10" max="10" width="5.75390625" style="2" customWidth="1"/>
    <col min="11" max="11" width="5.00390625" style="2" customWidth="1"/>
    <col min="12" max="12" width="4.875" style="2" customWidth="1"/>
    <col min="13" max="13" width="4.75390625" style="2" customWidth="1"/>
    <col min="14" max="14" width="4.875" style="2" customWidth="1"/>
    <col min="15" max="15" width="6.00390625" style="2" customWidth="1"/>
    <col min="16" max="16" width="6.50390625" style="2" customWidth="1"/>
    <col min="17" max="19" width="6.00390625" style="2" customWidth="1"/>
    <col min="20" max="21" width="5.875" style="2" customWidth="1"/>
    <col min="22" max="22" width="5.50390625" style="2" customWidth="1"/>
    <col min="23" max="23" width="6.00390625" style="2" customWidth="1"/>
    <col min="24" max="24" width="5.375" style="2" customWidth="1"/>
    <col min="25" max="25" width="5.125" style="2" customWidth="1"/>
    <col min="26" max="28" width="5.25390625" style="2" customWidth="1"/>
    <col min="29" max="29" width="4.875" style="2" customWidth="1"/>
    <col min="30" max="30" width="6.50390625" style="2" customWidth="1"/>
    <col min="31" max="31" width="7.75390625" style="2" customWidth="1"/>
    <col min="32" max="16384" width="9.00390625" style="2" customWidth="1"/>
  </cols>
  <sheetData>
    <row r="1" spans="1:4" ht="25.5" customHeight="1">
      <c r="A1" s="4" t="s">
        <v>560</v>
      </c>
      <c r="B1" s="4"/>
      <c r="C1" s="4"/>
      <c r="D1" s="4"/>
    </row>
    <row r="2" spans="1:31" ht="36" customHeight="1">
      <c r="A2" s="5" t="s">
        <v>561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7.75" customHeight="1">
      <c r="A4" s="7" t="s">
        <v>562</v>
      </c>
      <c r="B4" s="8"/>
      <c r="C4" s="18" t="s">
        <v>563</v>
      </c>
      <c r="D4" s="18"/>
      <c r="E4" s="18"/>
      <c r="F4" s="18"/>
      <c r="G4" s="18"/>
      <c r="H4" s="18"/>
      <c r="I4" s="18"/>
      <c r="J4" s="18"/>
      <c r="K4" s="14"/>
      <c r="L4" s="14"/>
      <c r="M4" s="18"/>
      <c r="N4" s="18"/>
      <c r="O4" s="45" t="s">
        <v>564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</row>
    <row r="5" spans="1:31" ht="27.75" customHeight="1">
      <c r="A5" s="10"/>
      <c r="B5" s="11"/>
      <c r="C5" s="73" t="s">
        <v>565</v>
      </c>
      <c r="D5" s="74" t="s">
        <v>566</v>
      </c>
      <c r="E5" s="75" t="s">
        <v>567</v>
      </c>
      <c r="F5" s="76"/>
      <c r="G5" s="76"/>
      <c r="H5" s="76"/>
      <c r="I5" s="76"/>
      <c r="J5" s="81"/>
      <c r="K5" s="82" t="s">
        <v>14</v>
      </c>
      <c r="L5" s="83" t="s">
        <v>15</v>
      </c>
      <c r="M5" s="84" t="s">
        <v>17</v>
      </c>
      <c r="N5" s="85" t="s">
        <v>18</v>
      </c>
      <c r="O5" s="47" t="s">
        <v>568</v>
      </c>
      <c r="P5" s="48" t="s">
        <v>569</v>
      </c>
      <c r="Q5" s="49"/>
      <c r="R5" s="49"/>
      <c r="S5" s="49"/>
      <c r="T5" s="49"/>
      <c r="U5" s="49"/>
      <c r="V5" s="49"/>
      <c r="W5" s="93" t="s">
        <v>570</v>
      </c>
      <c r="X5" s="94"/>
      <c r="Y5" s="94"/>
      <c r="Z5" s="94"/>
      <c r="AA5" s="94"/>
      <c r="AB5" s="94"/>
      <c r="AC5" s="96"/>
      <c r="AD5" s="51" t="s">
        <v>571</v>
      </c>
      <c r="AE5" s="93" t="s">
        <v>572</v>
      </c>
    </row>
    <row r="6" spans="1:31" s="1" customFormat="1" ht="29.25" customHeight="1">
      <c r="A6" s="10"/>
      <c r="B6" s="11"/>
      <c r="C6" s="73"/>
      <c r="D6" s="18"/>
      <c r="E6" s="77" t="s">
        <v>19</v>
      </c>
      <c r="F6" s="77" t="s">
        <v>20</v>
      </c>
      <c r="G6" s="77" t="s">
        <v>21</v>
      </c>
      <c r="H6" s="77" t="s">
        <v>22</v>
      </c>
      <c r="I6" s="77" t="s">
        <v>23</v>
      </c>
      <c r="J6" s="86" t="s">
        <v>24</v>
      </c>
      <c r="K6" s="87"/>
      <c r="L6" s="88"/>
      <c r="M6" s="87"/>
      <c r="N6" s="89"/>
      <c r="O6" s="50"/>
      <c r="P6" s="51" t="s">
        <v>573</v>
      </c>
      <c r="Q6" s="51" t="s">
        <v>574</v>
      </c>
      <c r="R6" s="51" t="s">
        <v>575</v>
      </c>
      <c r="S6" s="51" t="s">
        <v>576</v>
      </c>
      <c r="T6" s="51" t="s">
        <v>577</v>
      </c>
      <c r="U6" s="51" t="s">
        <v>578</v>
      </c>
      <c r="V6" s="51" t="s">
        <v>579</v>
      </c>
      <c r="W6" s="51" t="s">
        <v>573</v>
      </c>
      <c r="X6" s="51" t="s">
        <v>574</v>
      </c>
      <c r="Y6" s="51" t="s">
        <v>575</v>
      </c>
      <c r="Z6" s="51" t="s">
        <v>576</v>
      </c>
      <c r="AA6" s="51" t="s">
        <v>577</v>
      </c>
      <c r="AB6" s="51" t="s">
        <v>578</v>
      </c>
      <c r="AC6" s="51" t="s">
        <v>579</v>
      </c>
      <c r="AD6" s="51" t="s">
        <v>580</v>
      </c>
      <c r="AE6" s="93" t="s">
        <v>581</v>
      </c>
    </row>
    <row r="7" spans="1:31" ht="19.5" customHeight="1">
      <c r="A7" s="20" t="s">
        <v>582</v>
      </c>
      <c r="B7" s="21" t="s">
        <v>583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36" t="s">
        <v>584</v>
      </c>
      <c r="P7" s="52" t="s">
        <v>584</v>
      </c>
      <c r="Q7" s="36" t="s">
        <v>584</v>
      </c>
      <c r="R7" s="52" t="s">
        <v>584</v>
      </c>
      <c r="S7" s="36" t="s">
        <v>584</v>
      </c>
      <c r="T7" s="52" t="s">
        <v>584</v>
      </c>
      <c r="U7" s="36" t="s">
        <v>584</v>
      </c>
      <c r="V7" s="40" t="s">
        <v>584</v>
      </c>
      <c r="W7" s="52" t="s">
        <v>584</v>
      </c>
      <c r="X7" s="36" t="s">
        <v>584</v>
      </c>
      <c r="Y7" s="52" t="s">
        <v>584</v>
      </c>
      <c r="Z7" s="36" t="s">
        <v>584</v>
      </c>
      <c r="AA7" s="36" t="s">
        <v>584</v>
      </c>
      <c r="AB7" s="36" t="s">
        <v>584</v>
      </c>
      <c r="AC7" s="36" t="s">
        <v>584</v>
      </c>
      <c r="AD7" s="36" t="s">
        <v>584</v>
      </c>
      <c r="AE7" s="97" t="s">
        <v>584</v>
      </c>
    </row>
    <row r="8" spans="1:31" ht="19.5" customHeight="1">
      <c r="A8" s="20"/>
      <c r="B8" s="21" t="s">
        <v>585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36" t="s">
        <v>584</v>
      </c>
      <c r="P8" s="52" t="s">
        <v>584</v>
      </c>
      <c r="Q8" s="36" t="s">
        <v>584</v>
      </c>
      <c r="R8" s="52" t="s">
        <v>584</v>
      </c>
      <c r="S8" s="36" t="s">
        <v>584</v>
      </c>
      <c r="T8" s="52" t="s">
        <v>584</v>
      </c>
      <c r="U8" s="36" t="s">
        <v>584</v>
      </c>
      <c r="V8" s="40" t="s">
        <v>584</v>
      </c>
      <c r="W8" s="52" t="s">
        <v>584</v>
      </c>
      <c r="X8" s="36" t="s">
        <v>584</v>
      </c>
      <c r="Y8" s="52" t="s">
        <v>584</v>
      </c>
      <c r="Z8" s="36" t="s">
        <v>584</v>
      </c>
      <c r="AA8" s="36" t="s">
        <v>584</v>
      </c>
      <c r="AB8" s="36" t="s">
        <v>584</v>
      </c>
      <c r="AC8" s="36" t="s">
        <v>584</v>
      </c>
      <c r="AD8" s="36" t="s">
        <v>584</v>
      </c>
      <c r="AE8" s="97" t="s">
        <v>584</v>
      </c>
    </row>
    <row r="9" spans="1:31" ht="19.5" customHeight="1">
      <c r="A9" s="20"/>
      <c r="B9" s="21" t="s">
        <v>586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36" t="s">
        <v>584</v>
      </c>
      <c r="P9" s="52" t="s">
        <v>584</v>
      </c>
      <c r="Q9" s="36" t="s">
        <v>584</v>
      </c>
      <c r="R9" s="52" t="s">
        <v>584</v>
      </c>
      <c r="S9" s="36" t="s">
        <v>584</v>
      </c>
      <c r="T9" s="52" t="s">
        <v>584</v>
      </c>
      <c r="U9" s="36" t="s">
        <v>584</v>
      </c>
      <c r="V9" s="40" t="s">
        <v>584</v>
      </c>
      <c r="W9" s="52" t="s">
        <v>584</v>
      </c>
      <c r="X9" s="36" t="s">
        <v>584</v>
      </c>
      <c r="Y9" s="52" t="s">
        <v>584</v>
      </c>
      <c r="Z9" s="36" t="s">
        <v>584</v>
      </c>
      <c r="AA9" s="36" t="s">
        <v>584</v>
      </c>
      <c r="AB9" s="36" t="s">
        <v>584</v>
      </c>
      <c r="AC9" s="36" t="s">
        <v>584</v>
      </c>
      <c r="AD9" s="36" t="s">
        <v>584</v>
      </c>
      <c r="AE9" s="97" t="s">
        <v>584</v>
      </c>
    </row>
    <row r="10" spans="1:31" ht="19.5" customHeight="1">
      <c r="A10" s="20"/>
      <c r="B10" s="24" t="s">
        <v>587</v>
      </c>
      <c r="C10" s="25"/>
      <c r="D10" s="25"/>
      <c r="E10" s="25"/>
      <c r="F10" s="25"/>
      <c r="G10" s="25"/>
      <c r="H10" s="25"/>
      <c r="I10" s="25"/>
      <c r="J10" s="25"/>
      <c r="K10" s="25"/>
      <c r="L10" s="90"/>
      <c r="M10" s="25"/>
      <c r="N10" s="90"/>
      <c r="O10" s="40"/>
      <c r="P10" s="36"/>
      <c r="Q10" s="53"/>
      <c r="R10" s="53"/>
      <c r="S10" s="53"/>
      <c r="T10" s="53"/>
      <c r="U10" s="53"/>
      <c r="V10" s="53"/>
      <c r="W10" s="36"/>
      <c r="X10" s="53"/>
      <c r="Y10" s="53"/>
      <c r="Z10" s="53"/>
      <c r="AA10" s="53"/>
      <c r="AB10" s="53"/>
      <c r="AC10" s="53"/>
      <c r="AD10" s="36"/>
      <c r="AE10" s="97"/>
    </row>
    <row r="11" spans="1:31" ht="19.5" customHeight="1">
      <c r="A11" s="27"/>
      <c r="B11" s="78" t="s">
        <v>588</v>
      </c>
      <c r="C11" s="29" t="s">
        <v>584</v>
      </c>
      <c r="D11" s="30" t="s">
        <v>584</v>
      </c>
      <c r="E11" s="29" t="s">
        <v>584</v>
      </c>
      <c r="F11" s="29" t="s">
        <v>584</v>
      </c>
      <c r="G11" s="29" t="s">
        <v>584</v>
      </c>
      <c r="H11" s="29" t="s">
        <v>584</v>
      </c>
      <c r="I11" s="54" t="s">
        <v>584</v>
      </c>
      <c r="J11" s="29" t="s">
        <v>584</v>
      </c>
      <c r="K11" s="54" t="s">
        <v>584</v>
      </c>
      <c r="L11" s="29" t="s">
        <v>584</v>
      </c>
      <c r="M11" s="29" t="s">
        <v>584</v>
      </c>
      <c r="N11" s="29" t="s">
        <v>584</v>
      </c>
      <c r="O11" s="54"/>
      <c r="P11" s="29"/>
      <c r="Q11" s="55"/>
      <c r="R11" s="55"/>
      <c r="S11" s="55"/>
      <c r="T11" s="55"/>
      <c r="U11" s="55"/>
      <c r="V11" s="55"/>
      <c r="W11" s="65"/>
      <c r="X11" s="55"/>
      <c r="Y11" s="55"/>
      <c r="Z11" s="55"/>
      <c r="AA11" s="55"/>
      <c r="AB11" s="55"/>
      <c r="AC11" s="55"/>
      <c r="AD11" s="65"/>
      <c r="AE11" s="98"/>
    </row>
    <row r="12" spans="1:31" ht="19.5" customHeight="1">
      <c r="A12" s="31" t="s">
        <v>28</v>
      </c>
      <c r="B12" s="32" t="s">
        <v>583</v>
      </c>
      <c r="C12" s="33">
        <v>29.8</v>
      </c>
      <c r="D12" s="33">
        <v>80.6</v>
      </c>
      <c r="E12" s="33">
        <v>10.9</v>
      </c>
      <c r="F12" s="33">
        <v>10.6</v>
      </c>
      <c r="G12" s="33">
        <v>0</v>
      </c>
      <c r="H12" s="33">
        <v>4.2</v>
      </c>
      <c r="I12" s="33">
        <v>3.5</v>
      </c>
      <c r="J12" s="33">
        <v>0</v>
      </c>
      <c r="K12" s="33">
        <v>68.6</v>
      </c>
      <c r="L12" s="33">
        <v>13.5</v>
      </c>
      <c r="M12" s="33">
        <v>0</v>
      </c>
      <c r="N12" s="33">
        <v>2.7</v>
      </c>
      <c r="O12" s="79" t="s">
        <v>584</v>
      </c>
      <c r="P12" s="57" t="s">
        <v>584</v>
      </c>
      <c r="Q12" s="58" t="s">
        <v>584</v>
      </c>
      <c r="R12" s="57" t="s">
        <v>584</v>
      </c>
      <c r="S12" s="58" t="s">
        <v>584</v>
      </c>
      <c r="T12" s="57" t="s">
        <v>584</v>
      </c>
      <c r="U12" s="58" t="s">
        <v>584</v>
      </c>
      <c r="V12" s="56" t="s">
        <v>584</v>
      </c>
      <c r="W12" s="57" t="s">
        <v>584</v>
      </c>
      <c r="X12" s="58" t="s">
        <v>584</v>
      </c>
      <c r="Y12" s="57" t="s">
        <v>584</v>
      </c>
      <c r="Z12" s="58" t="s">
        <v>584</v>
      </c>
      <c r="AA12" s="58" t="s">
        <v>584</v>
      </c>
      <c r="AB12" s="58" t="s">
        <v>584</v>
      </c>
      <c r="AC12" s="58" t="s">
        <v>584</v>
      </c>
      <c r="AD12" s="58" t="s">
        <v>584</v>
      </c>
      <c r="AE12" s="99" t="s">
        <v>584</v>
      </c>
    </row>
    <row r="13" spans="1:31" ht="19.5" customHeight="1">
      <c r="A13" s="20"/>
      <c r="B13" s="21" t="s">
        <v>585</v>
      </c>
      <c r="C13" s="22">
        <v>20.4</v>
      </c>
      <c r="D13" s="22">
        <v>72.8</v>
      </c>
      <c r="E13" s="22">
        <v>0.5</v>
      </c>
      <c r="F13" s="22">
        <v>0.2</v>
      </c>
      <c r="G13" s="22">
        <v>0</v>
      </c>
      <c r="H13" s="22">
        <v>0</v>
      </c>
      <c r="I13" s="22">
        <v>0</v>
      </c>
      <c r="J13" s="22">
        <v>0</v>
      </c>
      <c r="K13" s="22">
        <v>38.7</v>
      </c>
      <c r="L13" s="22">
        <v>9</v>
      </c>
      <c r="M13" s="22">
        <v>0</v>
      </c>
      <c r="N13" s="22">
        <v>0</v>
      </c>
      <c r="O13" s="79" t="s">
        <v>584</v>
      </c>
      <c r="P13" s="52" t="s">
        <v>584</v>
      </c>
      <c r="Q13" s="36" t="s">
        <v>584</v>
      </c>
      <c r="R13" s="52" t="s">
        <v>584</v>
      </c>
      <c r="S13" s="36" t="s">
        <v>584</v>
      </c>
      <c r="T13" s="52" t="s">
        <v>584</v>
      </c>
      <c r="U13" s="36" t="s">
        <v>584</v>
      </c>
      <c r="V13" s="40" t="s">
        <v>584</v>
      </c>
      <c r="W13" s="52" t="s">
        <v>584</v>
      </c>
      <c r="X13" s="36" t="s">
        <v>584</v>
      </c>
      <c r="Y13" s="52" t="s">
        <v>584</v>
      </c>
      <c r="Z13" s="36" t="s">
        <v>584</v>
      </c>
      <c r="AA13" s="52" t="s">
        <v>584</v>
      </c>
      <c r="AB13" s="36" t="s">
        <v>584</v>
      </c>
      <c r="AC13" s="52" t="s">
        <v>584</v>
      </c>
      <c r="AD13" s="36" t="s">
        <v>584</v>
      </c>
      <c r="AE13" s="97" t="s">
        <v>584</v>
      </c>
    </row>
    <row r="14" spans="1:31" ht="19.5" customHeight="1">
      <c r="A14" s="20"/>
      <c r="B14" s="21" t="s">
        <v>586</v>
      </c>
      <c r="C14" s="22">
        <v>24.5</v>
      </c>
      <c r="D14" s="22">
        <v>77.8</v>
      </c>
      <c r="E14" s="22">
        <v>4.1</v>
      </c>
      <c r="F14" s="22">
        <v>3.1</v>
      </c>
      <c r="G14" s="22">
        <v>0</v>
      </c>
      <c r="H14" s="22">
        <v>0.9</v>
      </c>
      <c r="I14" s="22">
        <v>0.1</v>
      </c>
      <c r="J14" s="22">
        <v>0</v>
      </c>
      <c r="K14" s="22">
        <v>56.1</v>
      </c>
      <c r="L14" s="22">
        <v>11.6</v>
      </c>
      <c r="M14" s="22">
        <v>0</v>
      </c>
      <c r="N14" s="22">
        <v>0.4</v>
      </c>
      <c r="O14" s="79" t="s">
        <v>584</v>
      </c>
      <c r="P14" s="52" t="s">
        <v>584</v>
      </c>
      <c r="Q14" s="36" t="s">
        <v>584</v>
      </c>
      <c r="R14" s="52" t="s">
        <v>584</v>
      </c>
      <c r="S14" s="36" t="s">
        <v>584</v>
      </c>
      <c r="T14" s="52" t="s">
        <v>584</v>
      </c>
      <c r="U14" s="36" t="s">
        <v>584</v>
      </c>
      <c r="V14" s="40" t="s">
        <v>584</v>
      </c>
      <c r="W14" s="52" t="s">
        <v>584</v>
      </c>
      <c r="X14" s="36" t="s">
        <v>584</v>
      </c>
      <c r="Y14" s="52" t="s">
        <v>584</v>
      </c>
      <c r="Z14" s="36" t="s">
        <v>584</v>
      </c>
      <c r="AA14" s="52" t="s">
        <v>584</v>
      </c>
      <c r="AB14" s="36" t="s">
        <v>584</v>
      </c>
      <c r="AC14" s="52" t="s">
        <v>584</v>
      </c>
      <c r="AD14" s="36" t="s">
        <v>584</v>
      </c>
      <c r="AE14" s="97" t="s">
        <v>584</v>
      </c>
    </row>
    <row r="15" spans="1:31" ht="19.5" customHeight="1">
      <c r="A15" s="20"/>
      <c r="B15" s="24" t="s">
        <v>587</v>
      </c>
      <c r="C15" s="79">
        <v>160</v>
      </c>
      <c r="D15" s="79">
        <v>160</v>
      </c>
      <c r="E15" s="79">
        <v>160</v>
      </c>
      <c r="F15" s="79">
        <v>160</v>
      </c>
      <c r="G15" s="79">
        <v>160</v>
      </c>
      <c r="H15" s="79">
        <v>160</v>
      </c>
      <c r="I15" s="79">
        <v>160</v>
      </c>
      <c r="J15" s="79">
        <v>160</v>
      </c>
      <c r="K15" s="79">
        <v>160</v>
      </c>
      <c r="L15" s="79">
        <v>160</v>
      </c>
      <c r="M15" s="79">
        <v>160</v>
      </c>
      <c r="N15" s="79">
        <v>160</v>
      </c>
      <c r="O15" s="79">
        <v>160</v>
      </c>
      <c r="P15" s="57">
        <v>152</v>
      </c>
      <c r="Q15" s="58">
        <v>38</v>
      </c>
      <c r="R15" s="57">
        <v>87</v>
      </c>
      <c r="S15" s="58">
        <v>27</v>
      </c>
      <c r="T15" s="57">
        <v>7</v>
      </c>
      <c r="U15" s="58">
        <v>1</v>
      </c>
      <c r="V15" s="56">
        <v>0</v>
      </c>
      <c r="W15" s="79">
        <v>148</v>
      </c>
      <c r="X15" s="79">
        <v>125</v>
      </c>
      <c r="Y15" s="79">
        <v>14</v>
      </c>
      <c r="Z15" s="79">
        <v>9</v>
      </c>
      <c r="AA15" s="79">
        <v>4</v>
      </c>
      <c r="AB15" s="79">
        <v>8</v>
      </c>
      <c r="AC15" s="79">
        <v>0</v>
      </c>
      <c r="AD15" s="79">
        <v>160</v>
      </c>
      <c r="AE15" s="79">
        <v>156</v>
      </c>
    </row>
    <row r="16" spans="1:31" ht="19.5" customHeight="1">
      <c r="A16" s="27"/>
      <c r="B16" s="78" t="s">
        <v>588</v>
      </c>
      <c r="C16" s="29" t="s">
        <v>584</v>
      </c>
      <c r="D16" s="30" t="s">
        <v>584</v>
      </c>
      <c r="E16" s="29" t="s">
        <v>584</v>
      </c>
      <c r="F16" s="29" t="s">
        <v>584</v>
      </c>
      <c r="G16" s="30" t="s">
        <v>584</v>
      </c>
      <c r="H16" s="29" t="s">
        <v>584</v>
      </c>
      <c r="I16" s="30" t="s">
        <v>584</v>
      </c>
      <c r="J16" s="29" t="s">
        <v>584</v>
      </c>
      <c r="K16" s="54" t="s">
        <v>584</v>
      </c>
      <c r="L16" s="30" t="s">
        <v>584</v>
      </c>
      <c r="M16" s="29" t="s">
        <v>584</v>
      </c>
      <c r="N16" s="30" t="s">
        <v>584</v>
      </c>
      <c r="O16" s="91" t="s">
        <v>584</v>
      </c>
      <c r="P16" s="28">
        <v>0.95</v>
      </c>
      <c r="Q16" s="95">
        <v>0.2375</v>
      </c>
      <c r="R16" s="95">
        <v>0.54375</v>
      </c>
      <c r="S16" s="55">
        <v>0.16870000000000002</v>
      </c>
      <c r="T16" s="55">
        <v>0.04375</v>
      </c>
      <c r="U16" s="55">
        <v>0.006</v>
      </c>
      <c r="V16" s="55">
        <v>0</v>
      </c>
      <c r="W16" s="65">
        <v>0.925</v>
      </c>
      <c r="X16" s="55">
        <v>0.78125</v>
      </c>
      <c r="Y16" s="55">
        <v>0.0875</v>
      </c>
      <c r="Z16" s="55">
        <v>0.05625</v>
      </c>
      <c r="AA16" s="55">
        <v>0.025</v>
      </c>
      <c r="AB16" s="55">
        <v>0.05</v>
      </c>
      <c r="AC16" s="55">
        <v>0</v>
      </c>
      <c r="AD16" s="65">
        <v>1</v>
      </c>
      <c r="AE16" s="98">
        <v>0.975</v>
      </c>
    </row>
    <row r="17" spans="1:31" ht="19.5" customHeight="1">
      <c r="A17" s="31" t="s">
        <v>589</v>
      </c>
      <c r="B17" s="32" t="s">
        <v>583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8"/>
      <c r="O17" s="56" t="s">
        <v>584</v>
      </c>
      <c r="P17" s="57" t="s">
        <v>584</v>
      </c>
      <c r="Q17" s="58" t="s">
        <v>584</v>
      </c>
      <c r="R17" s="57" t="s">
        <v>584</v>
      </c>
      <c r="S17" s="58" t="s">
        <v>584</v>
      </c>
      <c r="T17" s="57" t="s">
        <v>584</v>
      </c>
      <c r="U17" s="58" t="s">
        <v>584</v>
      </c>
      <c r="V17" s="56" t="s">
        <v>584</v>
      </c>
      <c r="W17" s="57" t="s">
        <v>584</v>
      </c>
      <c r="X17" s="58" t="s">
        <v>584</v>
      </c>
      <c r="Y17" s="57" t="s">
        <v>584</v>
      </c>
      <c r="Z17" s="58" t="s">
        <v>584</v>
      </c>
      <c r="AA17" s="57" t="s">
        <v>584</v>
      </c>
      <c r="AB17" s="58" t="s">
        <v>584</v>
      </c>
      <c r="AC17" s="58" t="s">
        <v>584</v>
      </c>
      <c r="AD17" s="58" t="s">
        <v>584</v>
      </c>
      <c r="AE17" s="99" t="s">
        <v>584</v>
      </c>
    </row>
    <row r="18" spans="1:31" ht="19.5" customHeight="1">
      <c r="A18" s="20"/>
      <c r="B18" s="21" t="s">
        <v>585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40" t="s">
        <v>584</v>
      </c>
      <c r="P18" s="52" t="s">
        <v>584</v>
      </c>
      <c r="Q18" s="36" t="s">
        <v>584</v>
      </c>
      <c r="R18" s="52" t="s">
        <v>584</v>
      </c>
      <c r="S18" s="36" t="s">
        <v>584</v>
      </c>
      <c r="T18" s="52" t="s">
        <v>584</v>
      </c>
      <c r="U18" s="36" t="s">
        <v>584</v>
      </c>
      <c r="V18" s="40" t="s">
        <v>584</v>
      </c>
      <c r="W18" s="52" t="s">
        <v>584</v>
      </c>
      <c r="X18" s="36" t="s">
        <v>584</v>
      </c>
      <c r="Y18" s="52" t="s">
        <v>584</v>
      </c>
      <c r="Z18" s="36" t="s">
        <v>584</v>
      </c>
      <c r="AA18" s="52" t="s">
        <v>584</v>
      </c>
      <c r="AB18" s="36" t="s">
        <v>584</v>
      </c>
      <c r="AC18" s="36" t="s">
        <v>584</v>
      </c>
      <c r="AD18" s="36" t="s">
        <v>584</v>
      </c>
      <c r="AE18" s="97" t="s">
        <v>584</v>
      </c>
    </row>
    <row r="19" spans="1:31" ht="19.5" customHeight="1">
      <c r="A19" s="20"/>
      <c r="B19" s="21" t="s">
        <v>586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0" t="s">
        <v>584</v>
      </c>
      <c r="P19" s="52" t="s">
        <v>584</v>
      </c>
      <c r="Q19" s="36" t="s">
        <v>584</v>
      </c>
      <c r="R19" s="52" t="s">
        <v>584</v>
      </c>
      <c r="S19" s="36" t="s">
        <v>584</v>
      </c>
      <c r="T19" s="52" t="s">
        <v>584</v>
      </c>
      <c r="U19" s="36" t="s">
        <v>584</v>
      </c>
      <c r="V19" s="40" t="s">
        <v>584</v>
      </c>
      <c r="W19" s="52" t="s">
        <v>584</v>
      </c>
      <c r="X19" s="36" t="s">
        <v>584</v>
      </c>
      <c r="Y19" s="52" t="s">
        <v>584</v>
      </c>
      <c r="Z19" s="36" t="s">
        <v>584</v>
      </c>
      <c r="AA19" s="52" t="s">
        <v>584</v>
      </c>
      <c r="AB19" s="36" t="s">
        <v>584</v>
      </c>
      <c r="AC19" s="36" t="s">
        <v>584</v>
      </c>
      <c r="AD19" s="36" t="s">
        <v>584</v>
      </c>
      <c r="AE19" s="97" t="s">
        <v>584</v>
      </c>
    </row>
    <row r="20" spans="1:31" ht="19.5" customHeight="1">
      <c r="A20" s="20"/>
      <c r="B20" s="24" t="s">
        <v>587</v>
      </c>
      <c r="C20" s="25"/>
      <c r="D20" s="25"/>
      <c r="E20" s="25"/>
      <c r="F20" s="25"/>
      <c r="G20" s="25"/>
      <c r="H20" s="25"/>
      <c r="I20" s="25"/>
      <c r="J20" s="25"/>
      <c r="K20" s="25"/>
      <c r="L20" s="90"/>
      <c r="M20" s="25"/>
      <c r="N20" s="90"/>
      <c r="O20" s="40"/>
      <c r="P20" s="36"/>
      <c r="Q20" s="53"/>
      <c r="R20" s="53"/>
      <c r="S20" s="53"/>
      <c r="T20" s="53"/>
      <c r="U20" s="53"/>
      <c r="V20" s="53"/>
      <c r="W20" s="36"/>
      <c r="X20" s="53"/>
      <c r="Y20" s="53"/>
      <c r="Z20" s="53"/>
      <c r="AA20" s="53"/>
      <c r="AB20" s="53"/>
      <c r="AC20" s="53"/>
      <c r="AD20" s="36"/>
      <c r="AE20" s="97"/>
    </row>
    <row r="21" spans="1:31" ht="19.5" customHeight="1">
      <c r="A21" s="27"/>
      <c r="B21" s="78" t="s">
        <v>588</v>
      </c>
      <c r="C21" s="29" t="s">
        <v>584</v>
      </c>
      <c r="D21" s="30" t="s">
        <v>584</v>
      </c>
      <c r="E21" s="29" t="s">
        <v>584</v>
      </c>
      <c r="F21" s="29" t="s">
        <v>584</v>
      </c>
      <c r="G21" s="30" t="s">
        <v>584</v>
      </c>
      <c r="H21" s="29" t="s">
        <v>584</v>
      </c>
      <c r="I21" s="30" t="s">
        <v>584</v>
      </c>
      <c r="J21" s="29" t="s">
        <v>584</v>
      </c>
      <c r="K21" s="54" t="s">
        <v>584</v>
      </c>
      <c r="L21" s="30" t="s">
        <v>584</v>
      </c>
      <c r="M21" s="29" t="s">
        <v>584</v>
      </c>
      <c r="N21" s="92" t="s">
        <v>584</v>
      </c>
      <c r="O21" s="29"/>
      <c r="P21" s="29"/>
      <c r="Q21" s="55"/>
      <c r="R21" s="55"/>
      <c r="S21" s="55"/>
      <c r="T21" s="55"/>
      <c r="U21" s="55"/>
      <c r="V21" s="55"/>
      <c r="W21" s="65"/>
      <c r="X21" s="55"/>
      <c r="Y21" s="55"/>
      <c r="Z21" s="55"/>
      <c r="AA21" s="55"/>
      <c r="AB21" s="55"/>
      <c r="AC21" s="55"/>
      <c r="AD21" s="65"/>
      <c r="AE21" s="98"/>
    </row>
    <row r="22" spans="1:31" ht="19.5" customHeight="1">
      <c r="A22" s="31" t="s">
        <v>590</v>
      </c>
      <c r="B22" s="32" t="s">
        <v>583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8" t="s">
        <v>584</v>
      </c>
      <c r="P22" s="33" t="s">
        <v>584</v>
      </c>
      <c r="Q22" s="59" t="s">
        <v>584</v>
      </c>
      <c r="R22" s="59" t="s">
        <v>584</v>
      </c>
      <c r="S22" s="59" t="s">
        <v>584</v>
      </c>
      <c r="T22" s="59" t="s">
        <v>584</v>
      </c>
      <c r="U22" s="59" t="s">
        <v>584</v>
      </c>
      <c r="V22" s="59" t="s">
        <v>584</v>
      </c>
      <c r="W22" s="59" t="s">
        <v>584</v>
      </c>
      <c r="X22" s="58" t="s">
        <v>584</v>
      </c>
      <c r="Y22" s="58" t="s">
        <v>584</v>
      </c>
      <c r="Z22" s="58" t="s">
        <v>584</v>
      </c>
      <c r="AA22" s="58" t="s">
        <v>584</v>
      </c>
      <c r="AB22" s="58" t="s">
        <v>584</v>
      </c>
      <c r="AC22" s="58" t="s">
        <v>584</v>
      </c>
      <c r="AD22" s="58" t="s">
        <v>584</v>
      </c>
      <c r="AE22" s="99" t="s">
        <v>584</v>
      </c>
    </row>
    <row r="23" spans="1:31" ht="19.5" customHeight="1">
      <c r="A23" s="20"/>
      <c r="B23" s="21" t="s">
        <v>585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 t="s">
        <v>584</v>
      </c>
      <c r="P23" s="22" t="s">
        <v>584</v>
      </c>
      <c r="Q23" s="60" t="s">
        <v>584</v>
      </c>
      <c r="R23" s="60" t="s">
        <v>584</v>
      </c>
      <c r="S23" s="60" t="s">
        <v>584</v>
      </c>
      <c r="T23" s="60" t="s">
        <v>584</v>
      </c>
      <c r="U23" s="60" t="s">
        <v>584</v>
      </c>
      <c r="V23" s="60" t="s">
        <v>584</v>
      </c>
      <c r="W23" s="60" t="s">
        <v>584</v>
      </c>
      <c r="X23" s="36" t="s">
        <v>584</v>
      </c>
      <c r="Y23" s="36" t="s">
        <v>584</v>
      </c>
      <c r="Z23" s="36" t="s">
        <v>584</v>
      </c>
      <c r="AA23" s="36" t="s">
        <v>584</v>
      </c>
      <c r="AB23" s="36" t="s">
        <v>584</v>
      </c>
      <c r="AC23" s="36" t="s">
        <v>584</v>
      </c>
      <c r="AD23" s="36" t="s">
        <v>584</v>
      </c>
      <c r="AE23" s="97" t="s">
        <v>584</v>
      </c>
    </row>
    <row r="24" spans="1:31" ht="19.5" customHeight="1">
      <c r="A24" s="20"/>
      <c r="B24" s="21" t="s">
        <v>586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 t="s">
        <v>584</v>
      </c>
      <c r="P24" s="22" t="s">
        <v>584</v>
      </c>
      <c r="Q24" s="60" t="s">
        <v>584</v>
      </c>
      <c r="R24" s="60" t="s">
        <v>584</v>
      </c>
      <c r="S24" s="60" t="s">
        <v>584</v>
      </c>
      <c r="T24" s="60" t="s">
        <v>584</v>
      </c>
      <c r="U24" s="60" t="s">
        <v>584</v>
      </c>
      <c r="V24" s="60" t="s">
        <v>584</v>
      </c>
      <c r="W24" s="60" t="s">
        <v>584</v>
      </c>
      <c r="X24" s="36" t="s">
        <v>584</v>
      </c>
      <c r="Y24" s="36" t="s">
        <v>584</v>
      </c>
      <c r="Z24" s="36" t="s">
        <v>584</v>
      </c>
      <c r="AA24" s="36" t="s">
        <v>584</v>
      </c>
      <c r="AB24" s="36" t="s">
        <v>584</v>
      </c>
      <c r="AC24" s="36" t="s">
        <v>584</v>
      </c>
      <c r="AD24" s="36" t="s">
        <v>584</v>
      </c>
      <c r="AE24" s="97" t="s">
        <v>584</v>
      </c>
    </row>
    <row r="25" spans="1:31" ht="19.5" customHeight="1">
      <c r="A25" s="20"/>
      <c r="B25" s="24" t="s">
        <v>587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53"/>
      <c r="R25" s="53"/>
      <c r="S25" s="53"/>
      <c r="T25" s="53"/>
      <c r="U25" s="61"/>
      <c r="V25" s="53"/>
      <c r="W25" s="36"/>
      <c r="X25" s="53"/>
      <c r="Y25" s="53"/>
      <c r="Z25" s="53"/>
      <c r="AA25" s="53"/>
      <c r="AB25" s="53"/>
      <c r="AC25" s="53"/>
      <c r="AD25" s="36"/>
      <c r="AE25" s="97"/>
    </row>
    <row r="26" spans="1:31" ht="19.5" customHeight="1">
      <c r="A26" s="41"/>
      <c r="B26" s="42" t="s">
        <v>588</v>
      </c>
      <c r="C26" s="43" t="s">
        <v>584</v>
      </c>
      <c r="D26" s="43" t="s">
        <v>584</v>
      </c>
      <c r="E26" s="43" t="s">
        <v>584</v>
      </c>
      <c r="F26" s="43" t="s">
        <v>584</v>
      </c>
      <c r="G26" s="43" t="s">
        <v>584</v>
      </c>
      <c r="H26" s="43" t="s">
        <v>584</v>
      </c>
      <c r="I26" s="43" t="s">
        <v>584</v>
      </c>
      <c r="J26" s="43" t="s">
        <v>584</v>
      </c>
      <c r="K26" s="43" t="s">
        <v>584</v>
      </c>
      <c r="L26" s="43" t="s">
        <v>584</v>
      </c>
      <c r="M26" s="43" t="s">
        <v>584</v>
      </c>
      <c r="N26" s="43" t="s">
        <v>584</v>
      </c>
      <c r="O26" s="62"/>
      <c r="P26" s="62"/>
      <c r="Q26" s="63"/>
      <c r="R26" s="63"/>
      <c r="S26" s="63"/>
      <c r="T26" s="63"/>
      <c r="U26" s="63"/>
      <c r="V26" s="63"/>
      <c r="W26" s="66"/>
      <c r="X26" s="63"/>
      <c r="Y26" s="63"/>
      <c r="Z26" s="63"/>
      <c r="AA26" s="63"/>
      <c r="AB26" s="63"/>
      <c r="AC26" s="63"/>
      <c r="AD26" s="66"/>
      <c r="AE26" s="100"/>
    </row>
    <row r="27" spans="1:12" ht="37.5" customHeight="1">
      <c r="A27" s="44" t="s">
        <v>591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</row>
  </sheetData>
  <sheetProtection/>
  <mergeCells count="21">
    <mergeCell ref="A1:D1"/>
    <mergeCell ref="A2:AE2"/>
    <mergeCell ref="A3:AE3"/>
    <mergeCell ref="C4:N4"/>
    <mergeCell ref="O4:AE4"/>
    <mergeCell ref="E5:J5"/>
    <mergeCell ref="P5:V5"/>
    <mergeCell ref="W5:AC5"/>
    <mergeCell ref="A27:L27"/>
    <mergeCell ref="A7:A11"/>
    <mergeCell ref="A12:A16"/>
    <mergeCell ref="A17:A21"/>
    <mergeCell ref="A22:A26"/>
    <mergeCell ref="C5:C6"/>
    <mergeCell ref="D5:D6"/>
    <mergeCell ref="K5:K6"/>
    <mergeCell ref="L5:L6"/>
    <mergeCell ref="M5:M6"/>
    <mergeCell ref="N5:N6"/>
    <mergeCell ref="O5:O6"/>
    <mergeCell ref="A4:B6"/>
  </mergeCells>
  <printOptions/>
  <pageMargins left="0.66875" right="0.5902777777777778" top="0.75" bottom="0.75" header="0.31" footer="0.31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0"/>
  <sheetViews>
    <sheetView showGridLines="0" view="pageBreakPreview" zoomScale="85" zoomScaleSheetLayoutView="85" workbookViewId="0" topLeftCell="A1">
      <selection activeCell="A1" sqref="A1:D1"/>
    </sheetView>
  </sheetViews>
  <sheetFormatPr defaultColWidth="9.00390625" defaultRowHeight="14.25"/>
  <cols>
    <col min="1" max="1" width="7.125" style="2" customWidth="1"/>
    <col min="2" max="2" width="7.50390625" style="2" bestFit="1" customWidth="1"/>
    <col min="3" max="5" width="7.625" style="2" customWidth="1"/>
    <col min="6" max="9" width="7.25390625" style="2" customWidth="1"/>
    <col min="10" max="10" width="6.00390625" style="2" customWidth="1"/>
    <col min="11" max="11" width="6.50390625" style="2" customWidth="1"/>
    <col min="12" max="14" width="6.00390625" style="2" customWidth="1"/>
    <col min="15" max="16" width="5.875" style="2" customWidth="1"/>
    <col min="17" max="17" width="5.50390625" style="2" customWidth="1"/>
    <col min="18" max="25" width="6.00390625" style="2" customWidth="1"/>
    <col min="26" max="26" width="7.75390625" style="2" customWidth="1"/>
    <col min="27" max="27" width="7.50390625" style="2" customWidth="1"/>
    <col min="28" max="28" width="8.00390625" style="3" customWidth="1"/>
    <col min="29" max="16384" width="9.00390625" style="2" customWidth="1"/>
  </cols>
  <sheetData>
    <row r="1" spans="1:4" ht="20.25">
      <c r="A1" s="4" t="s">
        <v>592</v>
      </c>
      <c r="B1" s="4"/>
      <c r="C1" s="4"/>
      <c r="D1" s="4"/>
    </row>
    <row r="2" spans="1:28" ht="36" customHeight="1">
      <c r="A2" s="5" t="s">
        <v>593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27.75" customHeight="1">
      <c r="A4" s="7" t="s">
        <v>562</v>
      </c>
      <c r="B4" s="8"/>
      <c r="C4" s="9" t="s">
        <v>563</v>
      </c>
      <c r="D4" s="9"/>
      <c r="E4" s="9"/>
      <c r="F4" s="9"/>
      <c r="G4" s="9"/>
      <c r="H4" s="9"/>
      <c r="I4" s="9"/>
      <c r="J4" s="45" t="s">
        <v>564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8" ht="25.5" customHeight="1">
      <c r="A5" s="10"/>
      <c r="B5" s="11"/>
      <c r="C5" s="12" t="s">
        <v>552</v>
      </c>
      <c r="D5" s="13" t="s">
        <v>553</v>
      </c>
      <c r="E5" s="14" t="s">
        <v>554</v>
      </c>
      <c r="F5" s="14" t="s">
        <v>555</v>
      </c>
      <c r="G5" s="15" t="s">
        <v>556</v>
      </c>
      <c r="H5" s="15" t="s">
        <v>594</v>
      </c>
      <c r="I5" s="14" t="s">
        <v>558</v>
      </c>
      <c r="J5" s="47" t="s">
        <v>568</v>
      </c>
      <c r="K5" s="48" t="s">
        <v>595</v>
      </c>
      <c r="L5" s="49"/>
      <c r="M5" s="49"/>
      <c r="N5" s="49"/>
      <c r="O5" s="49"/>
      <c r="P5" s="49"/>
      <c r="Q5" s="49"/>
      <c r="R5" s="51" t="s">
        <v>596</v>
      </c>
      <c r="S5" s="51"/>
      <c r="T5" s="51"/>
      <c r="U5" s="51"/>
      <c r="V5" s="51" t="s">
        <v>597</v>
      </c>
      <c r="W5" s="51"/>
      <c r="X5" s="51"/>
      <c r="Y5" s="51"/>
      <c r="Z5" s="51" t="s">
        <v>598</v>
      </c>
      <c r="AA5" s="51" t="s">
        <v>599</v>
      </c>
      <c r="AB5" s="67" t="s">
        <v>600</v>
      </c>
    </row>
    <row r="6" spans="1:28" s="1" customFormat="1" ht="29.25" customHeight="1">
      <c r="A6" s="10"/>
      <c r="B6" s="11"/>
      <c r="C6" s="16"/>
      <c r="D6" s="17"/>
      <c r="E6" s="18"/>
      <c r="F6" s="18"/>
      <c r="G6" s="19"/>
      <c r="H6" s="19"/>
      <c r="I6" s="18"/>
      <c r="J6" s="50"/>
      <c r="K6" s="51" t="s">
        <v>573</v>
      </c>
      <c r="L6" s="51" t="s">
        <v>574</v>
      </c>
      <c r="M6" s="51" t="s">
        <v>575</v>
      </c>
      <c r="N6" s="51" t="s">
        <v>576</v>
      </c>
      <c r="O6" s="51" t="s">
        <v>577</v>
      </c>
      <c r="P6" s="51" t="s">
        <v>578</v>
      </c>
      <c r="Q6" s="51" t="s">
        <v>579</v>
      </c>
      <c r="R6" s="51" t="s">
        <v>581</v>
      </c>
      <c r="S6" s="51" t="s">
        <v>601</v>
      </c>
      <c r="T6" s="51" t="s">
        <v>602</v>
      </c>
      <c r="U6" s="51" t="s">
        <v>603</v>
      </c>
      <c r="V6" s="51" t="s">
        <v>604</v>
      </c>
      <c r="W6" s="51" t="s">
        <v>605</v>
      </c>
      <c r="X6" s="51" t="s">
        <v>606</v>
      </c>
      <c r="Y6" s="51" t="s">
        <v>607</v>
      </c>
      <c r="Z6" s="51" t="s">
        <v>581</v>
      </c>
      <c r="AA6" s="51" t="s">
        <v>581</v>
      </c>
      <c r="AB6" s="67" t="s">
        <v>608</v>
      </c>
    </row>
    <row r="7" spans="1:28" ht="19.5" customHeight="1">
      <c r="A7" s="20" t="s">
        <v>582</v>
      </c>
      <c r="B7" s="21" t="s">
        <v>583</v>
      </c>
      <c r="C7" s="22"/>
      <c r="D7" s="22"/>
      <c r="E7" s="22"/>
      <c r="F7" s="22"/>
      <c r="G7" s="22"/>
      <c r="H7" s="22"/>
      <c r="I7" s="22"/>
      <c r="J7" s="36" t="s">
        <v>584</v>
      </c>
      <c r="K7" s="52" t="s">
        <v>584</v>
      </c>
      <c r="L7" s="36" t="s">
        <v>584</v>
      </c>
      <c r="M7" s="52" t="s">
        <v>584</v>
      </c>
      <c r="N7" s="36" t="s">
        <v>584</v>
      </c>
      <c r="O7" s="52" t="s">
        <v>584</v>
      </c>
      <c r="P7" s="36" t="s">
        <v>584</v>
      </c>
      <c r="Q7" s="40" t="s">
        <v>584</v>
      </c>
      <c r="R7" s="40" t="s">
        <v>584</v>
      </c>
      <c r="S7" s="40" t="s">
        <v>584</v>
      </c>
      <c r="T7" s="40" t="s">
        <v>584</v>
      </c>
      <c r="U7" s="40" t="s">
        <v>584</v>
      </c>
      <c r="V7" s="40" t="s">
        <v>584</v>
      </c>
      <c r="W7" s="40" t="s">
        <v>584</v>
      </c>
      <c r="X7" s="40" t="s">
        <v>584</v>
      </c>
      <c r="Y7" s="40" t="s">
        <v>584</v>
      </c>
      <c r="Z7" s="36" t="s">
        <v>584</v>
      </c>
      <c r="AA7" s="36" t="s">
        <v>584</v>
      </c>
      <c r="AB7" s="68" t="s">
        <v>584</v>
      </c>
    </row>
    <row r="8" spans="1:28" ht="19.5" customHeight="1">
      <c r="A8" s="20"/>
      <c r="B8" s="21" t="s">
        <v>585</v>
      </c>
      <c r="C8" s="23"/>
      <c r="D8" s="23"/>
      <c r="E8" s="23"/>
      <c r="F8" s="22"/>
      <c r="G8" s="22"/>
      <c r="H8" s="22"/>
      <c r="I8" s="22"/>
      <c r="J8" s="36" t="s">
        <v>584</v>
      </c>
      <c r="K8" s="52" t="s">
        <v>584</v>
      </c>
      <c r="L8" s="36" t="s">
        <v>584</v>
      </c>
      <c r="M8" s="52" t="s">
        <v>584</v>
      </c>
      <c r="N8" s="36" t="s">
        <v>584</v>
      </c>
      <c r="O8" s="52" t="s">
        <v>584</v>
      </c>
      <c r="P8" s="36" t="s">
        <v>584</v>
      </c>
      <c r="Q8" s="40" t="s">
        <v>584</v>
      </c>
      <c r="R8" s="40" t="s">
        <v>584</v>
      </c>
      <c r="S8" s="40" t="s">
        <v>584</v>
      </c>
      <c r="T8" s="40" t="s">
        <v>584</v>
      </c>
      <c r="U8" s="40" t="s">
        <v>584</v>
      </c>
      <c r="V8" s="40" t="s">
        <v>584</v>
      </c>
      <c r="W8" s="40" t="s">
        <v>584</v>
      </c>
      <c r="X8" s="40" t="s">
        <v>584</v>
      </c>
      <c r="Y8" s="40" t="s">
        <v>584</v>
      </c>
      <c r="Z8" s="36" t="s">
        <v>584</v>
      </c>
      <c r="AA8" s="36" t="s">
        <v>584</v>
      </c>
      <c r="AB8" s="68" t="s">
        <v>584</v>
      </c>
    </row>
    <row r="9" spans="1:28" ht="19.5" customHeight="1">
      <c r="A9" s="20"/>
      <c r="B9" s="21" t="s">
        <v>586</v>
      </c>
      <c r="C9" s="22"/>
      <c r="D9" s="23"/>
      <c r="E9" s="23"/>
      <c r="F9" s="22"/>
      <c r="G9" s="23"/>
      <c r="H9" s="23"/>
      <c r="I9" s="22"/>
      <c r="J9" s="36" t="s">
        <v>584</v>
      </c>
      <c r="K9" s="52" t="s">
        <v>584</v>
      </c>
      <c r="L9" s="36" t="s">
        <v>584</v>
      </c>
      <c r="M9" s="52" t="s">
        <v>584</v>
      </c>
      <c r="N9" s="36" t="s">
        <v>584</v>
      </c>
      <c r="O9" s="52" t="s">
        <v>584</v>
      </c>
      <c r="P9" s="36" t="s">
        <v>584</v>
      </c>
      <c r="Q9" s="40" t="s">
        <v>584</v>
      </c>
      <c r="R9" s="40" t="s">
        <v>584</v>
      </c>
      <c r="S9" s="40" t="s">
        <v>584</v>
      </c>
      <c r="T9" s="40" t="s">
        <v>584</v>
      </c>
      <c r="U9" s="40" t="s">
        <v>584</v>
      </c>
      <c r="V9" s="40" t="s">
        <v>584</v>
      </c>
      <c r="W9" s="40" t="s">
        <v>584</v>
      </c>
      <c r="X9" s="40" t="s">
        <v>584</v>
      </c>
      <c r="Y9" s="40" t="s">
        <v>584</v>
      </c>
      <c r="Z9" s="36" t="s">
        <v>584</v>
      </c>
      <c r="AA9" s="36" t="s">
        <v>584</v>
      </c>
      <c r="AB9" s="68" t="s">
        <v>584</v>
      </c>
    </row>
    <row r="10" spans="1:28" ht="19.5" customHeight="1">
      <c r="A10" s="20"/>
      <c r="B10" s="24" t="s">
        <v>587</v>
      </c>
      <c r="C10" s="25"/>
      <c r="D10" s="26"/>
      <c r="E10" s="25"/>
      <c r="F10" s="25"/>
      <c r="G10" s="25"/>
      <c r="H10" s="25"/>
      <c r="I10" s="25"/>
      <c r="J10" s="40"/>
      <c r="K10" s="36"/>
      <c r="L10" s="53"/>
      <c r="M10" s="53"/>
      <c r="N10" s="53"/>
      <c r="O10" s="53"/>
      <c r="P10" s="53"/>
      <c r="Q10" s="53"/>
      <c r="R10" s="36"/>
      <c r="S10" s="36"/>
      <c r="T10" s="36"/>
      <c r="U10" s="36"/>
      <c r="V10" s="36"/>
      <c r="W10" s="36"/>
      <c r="X10" s="36"/>
      <c r="Y10" s="36"/>
      <c r="Z10" s="53"/>
      <c r="AA10" s="36"/>
      <c r="AB10" s="69"/>
    </row>
    <row r="11" spans="1:28" ht="19.5" customHeight="1">
      <c r="A11" s="27"/>
      <c r="B11" s="28" t="s">
        <v>588</v>
      </c>
      <c r="C11" s="29" t="s">
        <v>584</v>
      </c>
      <c r="D11" s="30" t="s">
        <v>584</v>
      </c>
      <c r="E11" s="29" t="s">
        <v>584</v>
      </c>
      <c r="F11" s="29" t="s">
        <v>584</v>
      </c>
      <c r="G11" s="29" t="s">
        <v>584</v>
      </c>
      <c r="H11" s="29" t="s">
        <v>584</v>
      </c>
      <c r="I11" s="29" t="s">
        <v>584</v>
      </c>
      <c r="J11" s="54"/>
      <c r="K11" s="29"/>
      <c r="L11" s="55"/>
      <c r="M11" s="55"/>
      <c r="N11" s="55"/>
      <c r="O11" s="55"/>
      <c r="P11" s="55"/>
      <c r="Q11" s="55"/>
      <c r="R11" s="65"/>
      <c r="S11" s="65"/>
      <c r="T11" s="65"/>
      <c r="U11" s="65"/>
      <c r="V11" s="65"/>
      <c r="W11" s="65"/>
      <c r="X11" s="65"/>
      <c r="Y11" s="65"/>
      <c r="Z11" s="55"/>
      <c r="AA11" s="65"/>
      <c r="AB11" s="70"/>
    </row>
    <row r="12" spans="1:28" ht="19.5" customHeight="1">
      <c r="A12" s="31" t="s">
        <v>609</v>
      </c>
      <c r="B12" s="32" t="s">
        <v>583</v>
      </c>
      <c r="C12" s="33"/>
      <c r="D12" s="34"/>
      <c r="E12" s="33"/>
      <c r="F12" s="33"/>
      <c r="G12" s="33"/>
      <c r="H12" s="33"/>
      <c r="I12" s="33"/>
      <c r="J12" s="56" t="s">
        <v>584</v>
      </c>
      <c r="K12" s="57" t="s">
        <v>584</v>
      </c>
      <c r="L12" s="58" t="s">
        <v>584</v>
      </c>
      <c r="M12" s="57" t="s">
        <v>584</v>
      </c>
      <c r="N12" s="58" t="s">
        <v>584</v>
      </c>
      <c r="O12" s="57" t="s">
        <v>584</v>
      </c>
      <c r="P12" s="58" t="s">
        <v>584</v>
      </c>
      <c r="Q12" s="56" t="s">
        <v>584</v>
      </c>
      <c r="R12" s="56" t="s">
        <v>584</v>
      </c>
      <c r="S12" s="56" t="s">
        <v>584</v>
      </c>
      <c r="T12" s="56" t="s">
        <v>584</v>
      </c>
      <c r="U12" s="56" t="s">
        <v>584</v>
      </c>
      <c r="V12" s="56" t="s">
        <v>584</v>
      </c>
      <c r="W12" s="56" t="s">
        <v>584</v>
      </c>
      <c r="X12" s="56" t="s">
        <v>584</v>
      </c>
      <c r="Y12" s="56" t="s">
        <v>584</v>
      </c>
      <c r="Z12" s="58" t="s">
        <v>584</v>
      </c>
      <c r="AA12" s="58" t="s">
        <v>584</v>
      </c>
      <c r="AB12" s="71" t="s">
        <v>584</v>
      </c>
    </row>
    <row r="13" spans="1:28" ht="19.5" customHeight="1">
      <c r="A13" s="20"/>
      <c r="B13" s="21" t="s">
        <v>585</v>
      </c>
      <c r="C13" s="22"/>
      <c r="D13" s="35"/>
      <c r="E13" s="22"/>
      <c r="F13" s="22"/>
      <c r="G13" s="22"/>
      <c r="H13" s="22"/>
      <c r="I13" s="22"/>
      <c r="J13" s="40" t="s">
        <v>584</v>
      </c>
      <c r="K13" s="52" t="s">
        <v>584</v>
      </c>
      <c r="L13" s="36" t="s">
        <v>584</v>
      </c>
      <c r="M13" s="52" t="s">
        <v>584</v>
      </c>
      <c r="N13" s="36" t="s">
        <v>584</v>
      </c>
      <c r="O13" s="52" t="s">
        <v>584</v>
      </c>
      <c r="P13" s="36" t="s">
        <v>584</v>
      </c>
      <c r="Q13" s="40" t="s">
        <v>584</v>
      </c>
      <c r="R13" s="40" t="s">
        <v>584</v>
      </c>
      <c r="S13" s="40" t="s">
        <v>584</v>
      </c>
      <c r="T13" s="40" t="s">
        <v>584</v>
      </c>
      <c r="U13" s="40" t="s">
        <v>584</v>
      </c>
      <c r="V13" s="40" t="s">
        <v>584</v>
      </c>
      <c r="W13" s="40" t="s">
        <v>584</v>
      </c>
      <c r="X13" s="40" t="s">
        <v>584</v>
      </c>
      <c r="Y13" s="40" t="s">
        <v>584</v>
      </c>
      <c r="Z13" s="36" t="s">
        <v>584</v>
      </c>
      <c r="AA13" s="36" t="s">
        <v>584</v>
      </c>
      <c r="AB13" s="68" t="s">
        <v>584</v>
      </c>
    </row>
    <row r="14" spans="1:28" ht="19.5" customHeight="1">
      <c r="A14" s="20"/>
      <c r="B14" s="21" t="s">
        <v>586</v>
      </c>
      <c r="C14" s="22"/>
      <c r="D14" s="35"/>
      <c r="E14" s="22"/>
      <c r="F14" s="22"/>
      <c r="G14" s="22"/>
      <c r="H14" s="22"/>
      <c r="I14" s="22"/>
      <c r="J14" s="40" t="s">
        <v>584</v>
      </c>
      <c r="K14" s="52" t="s">
        <v>584</v>
      </c>
      <c r="L14" s="36" t="s">
        <v>584</v>
      </c>
      <c r="M14" s="52" t="s">
        <v>584</v>
      </c>
      <c r="N14" s="36" t="s">
        <v>584</v>
      </c>
      <c r="O14" s="52" t="s">
        <v>584</v>
      </c>
      <c r="P14" s="36" t="s">
        <v>584</v>
      </c>
      <c r="Q14" s="40" t="s">
        <v>584</v>
      </c>
      <c r="R14" s="40" t="s">
        <v>584</v>
      </c>
      <c r="S14" s="40" t="s">
        <v>584</v>
      </c>
      <c r="T14" s="40" t="s">
        <v>584</v>
      </c>
      <c r="U14" s="40" t="s">
        <v>584</v>
      </c>
      <c r="V14" s="40" t="s">
        <v>584</v>
      </c>
      <c r="W14" s="40" t="s">
        <v>584</v>
      </c>
      <c r="X14" s="40" t="s">
        <v>584</v>
      </c>
      <c r="Y14" s="40" t="s">
        <v>584</v>
      </c>
      <c r="Z14" s="36" t="s">
        <v>584</v>
      </c>
      <c r="AA14" s="36" t="s">
        <v>584</v>
      </c>
      <c r="AB14" s="68" t="s">
        <v>584</v>
      </c>
    </row>
    <row r="15" spans="1:28" ht="19.5" customHeight="1">
      <c r="A15" s="20"/>
      <c r="B15" s="24" t="s">
        <v>587</v>
      </c>
      <c r="C15" s="25"/>
      <c r="D15" s="26"/>
      <c r="E15" s="36"/>
      <c r="F15" s="36"/>
      <c r="G15" s="36"/>
      <c r="H15" s="36"/>
      <c r="I15" s="39"/>
      <c r="J15" s="36"/>
      <c r="K15" s="36"/>
      <c r="L15" s="53"/>
      <c r="M15" s="53"/>
      <c r="N15" s="53"/>
      <c r="O15" s="53"/>
      <c r="P15" s="53"/>
      <c r="Q15" s="53"/>
      <c r="R15" s="36"/>
      <c r="S15" s="36"/>
      <c r="T15" s="36"/>
      <c r="U15" s="36"/>
      <c r="V15" s="36"/>
      <c r="W15" s="36"/>
      <c r="X15" s="36"/>
      <c r="Y15" s="36"/>
      <c r="Z15" s="53"/>
      <c r="AA15" s="36"/>
      <c r="AB15" s="69"/>
    </row>
    <row r="16" spans="1:28" ht="19.5" customHeight="1">
      <c r="A16" s="27"/>
      <c r="B16" s="28" t="s">
        <v>588</v>
      </c>
      <c r="C16" s="29" t="s">
        <v>584</v>
      </c>
      <c r="D16" s="30" t="s">
        <v>584</v>
      </c>
      <c r="E16" s="29" t="s">
        <v>584</v>
      </c>
      <c r="F16" s="29" t="s">
        <v>584</v>
      </c>
      <c r="G16" s="29" t="s">
        <v>584</v>
      </c>
      <c r="H16" s="29" t="s">
        <v>584</v>
      </c>
      <c r="I16" s="29" t="s">
        <v>584</v>
      </c>
      <c r="J16" s="54"/>
      <c r="K16" s="29"/>
      <c r="L16" s="55"/>
      <c r="M16" s="55"/>
      <c r="N16" s="55"/>
      <c r="O16" s="55"/>
      <c r="P16" s="55"/>
      <c r="Q16" s="55"/>
      <c r="R16" s="65"/>
      <c r="S16" s="65"/>
      <c r="T16" s="65"/>
      <c r="U16" s="65"/>
      <c r="V16" s="65"/>
      <c r="W16" s="65"/>
      <c r="X16" s="65"/>
      <c r="Y16" s="65"/>
      <c r="Z16" s="55"/>
      <c r="AA16" s="65"/>
      <c r="AB16" s="70"/>
    </row>
    <row r="17" spans="1:28" ht="19.5" customHeight="1">
      <c r="A17" s="31" t="s">
        <v>589</v>
      </c>
      <c r="B17" s="32" t="s">
        <v>583</v>
      </c>
      <c r="C17" s="37"/>
      <c r="D17" s="34"/>
      <c r="E17" s="33"/>
      <c r="F17" s="38"/>
      <c r="G17" s="33"/>
      <c r="H17" s="33"/>
      <c r="I17" s="33"/>
      <c r="J17" s="58" t="s">
        <v>584</v>
      </c>
      <c r="K17" s="57" t="s">
        <v>584</v>
      </c>
      <c r="L17" s="58" t="s">
        <v>584</v>
      </c>
      <c r="M17" s="57" t="s">
        <v>584</v>
      </c>
      <c r="N17" s="58" t="s">
        <v>584</v>
      </c>
      <c r="O17" s="57" t="s">
        <v>584</v>
      </c>
      <c r="P17" s="58" t="s">
        <v>584</v>
      </c>
      <c r="Q17" s="56" t="s">
        <v>584</v>
      </c>
      <c r="R17" s="56" t="s">
        <v>584</v>
      </c>
      <c r="S17" s="56" t="s">
        <v>584</v>
      </c>
      <c r="T17" s="56" t="s">
        <v>584</v>
      </c>
      <c r="U17" s="56" t="s">
        <v>584</v>
      </c>
      <c r="V17" s="56" t="s">
        <v>584</v>
      </c>
      <c r="W17" s="56" t="s">
        <v>584</v>
      </c>
      <c r="X17" s="56" t="s">
        <v>584</v>
      </c>
      <c r="Y17" s="56" t="s">
        <v>584</v>
      </c>
      <c r="Z17" s="58" t="s">
        <v>584</v>
      </c>
      <c r="AA17" s="58" t="s">
        <v>584</v>
      </c>
      <c r="AB17" s="71" t="s">
        <v>584</v>
      </c>
    </row>
    <row r="18" spans="1:28" ht="19.5" customHeight="1">
      <c r="A18" s="20"/>
      <c r="B18" s="21" t="s">
        <v>585</v>
      </c>
      <c r="C18" s="22"/>
      <c r="D18" s="22"/>
      <c r="E18" s="23"/>
      <c r="F18" s="22"/>
      <c r="G18" s="22"/>
      <c r="H18" s="22"/>
      <c r="I18" s="22"/>
      <c r="J18" s="36" t="s">
        <v>584</v>
      </c>
      <c r="K18" s="52" t="s">
        <v>584</v>
      </c>
      <c r="L18" s="36" t="s">
        <v>584</v>
      </c>
      <c r="M18" s="52" t="s">
        <v>584</v>
      </c>
      <c r="N18" s="36" t="s">
        <v>584</v>
      </c>
      <c r="O18" s="52" t="s">
        <v>584</v>
      </c>
      <c r="P18" s="36" t="s">
        <v>584</v>
      </c>
      <c r="Q18" s="40" t="s">
        <v>584</v>
      </c>
      <c r="R18" s="40" t="s">
        <v>584</v>
      </c>
      <c r="S18" s="40" t="s">
        <v>584</v>
      </c>
      <c r="T18" s="40" t="s">
        <v>584</v>
      </c>
      <c r="U18" s="40" t="s">
        <v>584</v>
      </c>
      <c r="V18" s="40" t="s">
        <v>584</v>
      </c>
      <c r="W18" s="40" t="s">
        <v>584</v>
      </c>
      <c r="X18" s="40" t="s">
        <v>584</v>
      </c>
      <c r="Y18" s="40" t="s">
        <v>584</v>
      </c>
      <c r="Z18" s="36" t="s">
        <v>584</v>
      </c>
      <c r="AA18" s="36" t="s">
        <v>584</v>
      </c>
      <c r="AB18" s="68" t="s">
        <v>584</v>
      </c>
    </row>
    <row r="19" spans="1:28" ht="19.5" customHeight="1">
      <c r="A19" s="20"/>
      <c r="B19" s="21" t="s">
        <v>586</v>
      </c>
      <c r="C19" s="22"/>
      <c r="D19" s="22"/>
      <c r="E19" s="23"/>
      <c r="F19" s="22"/>
      <c r="G19" s="22"/>
      <c r="H19" s="22"/>
      <c r="I19" s="22"/>
      <c r="J19" s="36" t="s">
        <v>584</v>
      </c>
      <c r="K19" s="52" t="s">
        <v>584</v>
      </c>
      <c r="L19" s="36" t="s">
        <v>584</v>
      </c>
      <c r="M19" s="52" t="s">
        <v>584</v>
      </c>
      <c r="N19" s="36" t="s">
        <v>584</v>
      </c>
      <c r="O19" s="52" t="s">
        <v>584</v>
      </c>
      <c r="P19" s="36" t="s">
        <v>584</v>
      </c>
      <c r="Q19" s="40" t="s">
        <v>584</v>
      </c>
      <c r="R19" s="40" t="s">
        <v>584</v>
      </c>
      <c r="S19" s="40" t="s">
        <v>584</v>
      </c>
      <c r="T19" s="40" t="s">
        <v>584</v>
      </c>
      <c r="U19" s="40" t="s">
        <v>584</v>
      </c>
      <c r="V19" s="40" t="s">
        <v>584</v>
      </c>
      <c r="W19" s="40" t="s">
        <v>584</v>
      </c>
      <c r="X19" s="40" t="s">
        <v>584</v>
      </c>
      <c r="Y19" s="40" t="s">
        <v>584</v>
      </c>
      <c r="Z19" s="36" t="s">
        <v>584</v>
      </c>
      <c r="AA19" s="36" t="s">
        <v>584</v>
      </c>
      <c r="AB19" s="68" t="s">
        <v>584</v>
      </c>
    </row>
    <row r="20" spans="1:28" ht="19.5" customHeight="1">
      <c r="A20" s="20"/>
      <c r="B20" s="24" t="s">
        <v>587</v>
      </c>
      <c r="C20" s="25"/>
      <c r="D20" s="25"/>
      <c r="E20" s="39"/>
      <c r="F20" s="25"/>
      <c r="G20" s="25"/>
      <c r="H20" s="25"/>
      <c r="I20" s="25"/>
      <c r="J20" s="36"/>
      <c r="K20" s="36"/>
      <c r="L20" s="53"/>
      <c r="M20" s="53"/>
      <c r="N20" s="53"/>
      <c r="O20" s="53"/>
      <c r="P20" s="53"/>
      <c r="Q20" s="53"/>
      <c r="R20" s="36"/>
      <c r="S20" s="36"/>
      <c r="T20" s="36"/>
      <c r="U20" s="36"/>
      <c r="V20" s="36"/>
      <c r="W20" s="36"/>
      <c r="X20" s="36"/>
      <c r="Y20" s="36"/>
      <c r="Z20" s="53"/>
      <c r="AA20" s="36"/>
      <c r="AB20" s="69"/>
    </row>
    <row r="21" spans="1:28" ht="19.5" customHeight="1">
      <c r="A21" s="27"/>
      <c r="B21" s="28" t="s">
        <v>588</v>
      </c>
      <c r="C21" s="29" t="s">
        <v>584</v>
      </c>
      <c r="D21" s="30" t="s">
        <v>584</v>
      </c>
      <c r="E21" s="29" t="s">
        <v>584</v>
      </c>
      <c r="F21" s="29" t="s">
        <v>584</v>
      </c>
      <c r="G21" s="29" t="s">
        <v>584</v>
      </c>
      <c r="H21" s="29" t="s">
        <v>584</v>
      </c>
      <c r="I21" s="29" t="s">
        <v>584</v>
      </c>
      <c r="J21" s="54"/>
      <c r="K21" s="29"/>
      <c r="L21" s="55"/>
      <c r="M21" s="55"/>
      <c r="N21" s="55"/>
      <c r="O21" s="55"/>
      <c r="P21" s="55"/>
      <c r="Q21" s="55"/>
      <c r="R21" s="65"/>
      <c r="S21" s="65"/>
      <c r="T21" s="65"/>
      <c r="U21" s="65"/>
      <c r="V21" s="65"/>
      <c r="W21" s="65"/>
      <c r="X21" s="65"/>
      <c r="Y21" s="65"/>
      <c r="Z21" s="55"/>
      <c r="AA21" s="65"/>
      <c r="AB21" s="70"/>
    </row>
    <row r="22" spans="1:28" ht="19.5" customHeight="1">
      <c r="A22" s="31" t="s">
        <v>590</v>
      </c>
      <c r="B22" s="32" t="s">
        <v>583</v>
      </c>
      <c r="C22" s="33"/>
      <c r="D22" s="33"/>
      <c r="E22" s="38"/>
      <c r="F22" s="33"/>
      <c r="G22" s="33"/>
      <c r="H22" s="33"/>
      <c r="I22" s="33"/>
      <c r="J22" s="33" t="s">
        <v>584</v>
      </c>
      <c r="K22" s="33" t="s">
        <v>584</v>
      </c>
      <c r="L22" s="59" t="s">
        <v>584</v>
      </c>
      <c r="M22" s="59" t="s">
        <v>584</v>
      </c>
      <c r="N22" s="59" t="s">
        <v>584</v>
      </c>
      <c r="O22" s="59" t="s">
        <v>584</v>
      </c>
      <c r="P22" s="59" t="s">
        <v>584</v>
      </c>
      <c r="Q22" s="59" t="s">
        <v>584</v>
      </c>
      <c r="R22" s="59" t="s">
        <v>584</v>
      </c>
      <c r="S22" s="59" t="s">
        <v>584</v>
      </c>
      <c r="T22" s="59" t="s">
        <v>584</v>
      </c>
      <c r="U22" s="59" t="s">
        <v>584</v>
      </c>
      <c r="V22" s="59" t="s">
        <v>584</v>
      </c>
      <c r="W22" s="59" t="s">
        <v>584</v>
      </c>
      <c r="X22" s="59" t="s">
        <v>584</v>
      </c>
      <c r="Y22" s="59" t="s">
        <v>584</v>
      </c>
      <c r="Z22" s="58" t="s">
        <v>584</v>
      </c>
      <c r="AA22" s="58" t="s">
        <v>584</v>
      </c>
      <c r="AB22" s="71" t="s">
        <v>584</v>
      </c>
    </row>
    <row r="23" spans="1:28" ht="19.5" customHeight="1">
      <c r="A23" s="20"/>
      <c r="B23" s="21" t="s">
        <v>585</v>
      </c>
      <c r="C23" s="22"/>
      <c r="D23" s="22"/>
      <c r="E23" s="23"/>
      <c r="F23" s="22"/>
      <c r="G23" s="22"/>
      <c r="H23" s="22"/>
      <c r="I23" s="22"/>
      <c r="J23" s="22" t="s">
        <v>584</v>
      </c>
      <c r="K23" s="22" t="s">
        <v>584</v>
      </c>
      <c r="L23" s="60" t="s">
        <v>584</v>
      </c>
      <c r="M23" s="60" t="s">
        <v>584</v>
      </c>
      <c r="N23" s="60" t="s">
        <v>584</v>
      </c>
      <c r="O23" s="60" t="s">
        <v>584</v>
      </c>
      <c r="P23" s="60" t="s">
        <v>584</v>
      </c>
      <c r="Q23" s="60" t="s">
        <v>584</v>
      </c>
      <c r="R23" s="60" t="s">
        <v>584</v>
      </c>
      <c r="S23" s="60" t="s">
        <v>584</v>
      </c>
      <c r="T23" s="60" t="s">
        <v>584</v>
      </c>
      <c r="U23" s="60" t="s">
        <v>584</v>
      </c>
      <c r="V23" s="60" t="s">
        <v>584</v>
      </c>
      <c r="W23" s="60" t="s">
        <v>584</v>
      </c>
      <c r="X23" s="60" t="s">
        <v>584</v>
      </c>
      <c r="Y23" s="60" t="s">
        <v>584</v>
      </c>
      <c r="Z23" s="36" t="s">
        <v>584</v>
      </c>
      <c r="AA23" s="36" t="s">
        <v>584</v>
      </c>
      <c r="AB23" s="68" t="s">
        <v>584</v>
      </c>
    </row>
    <row r="24" spans="1:28" ht="19.5" customHeight="1">
      <c r="A24" s="20"/>
      <c r="B24" s="21" t="s">
        <v>586</v>
      </c>
      <c r="C24" s="22"/>
      <c r="D24" s="22"/>
      <c r="E24" s="23"/>
      <c r="F24" s="22"/>
      <c r="G24" s="22"/>
      <c r="H24" s="22"/>
      <c r="I24" s="22"/>
      <c r="J24" s="22" t="s">
        <v>584</v>
      </c>
      <c r="K24" s="22" t="s">
        <v>584</v>
      </c>
      <c r="L24" s="60" t="s">
        <v>584</v>
      </c>
      <c r="M24" s="60" t="s">
        <v>584</v>
      </c>
      <c r="N24" s="60" t="s">
        <v>584</v>
      </c>
      <c r="O24" s="60" t="s">
        <v>584</v>
      </c>
      <c r="P24" s="60" t="s">
        <v>584</v>
      </c>
      <c r="Q24" s="60" t="s">
        <v>584</v>
      </c>
      <c r="R24" s="60" t="s">
        <v>584</v>
      </c>
      <c r="S24" s="60" t="s">
        <v>584</v>
      </c>
      <c r="T24" s="60" t="s">
        <v>584</v>
      </c>
      <c r="U24" s="60" t="s">
        <v>584</v>
      </c>
      <c r="V24" s="60" t="s">
        <v>584</v>
      </c>
      <c r="W24" s="60" t="s">
        <v>584</v>
      </c>
      <c r="X24" s="60" t="s">
        <v>584</v>
      </c>
      <c r="Y24" s="60" t="s">
        <v>584</v>
      </c>
      <c r="Z24" s="36" t="s">
        <v>584</v>
      </c>
      <c r="AA24" s="36" t="s">
        <v>584</v>
      </c>
      <c r="AB24" s="68" t="s">
        <v>584</v>
      </c>
    </row>
    <row r="25" spans="1:28" ht="19.5" customHeight="1">
      <c r="A25" s="20"/>
      <c r="B25" s="24" t="s">
        <v>587</v>
      </c>
      <c r="C25" s="36"/>
      <c r="D25" s="40"/>
      <c r="E25" s="36"/>
      <c r="F25" s="36"/>
      <c r="G25" s="36"/>
      <c r="H25" s="36"/>
      <c r="I25" s="36"/>
      <c r="J25" s="36"/>
      <c r="K25" s="36"/>
      <c r="L25" s="53"/>
      <c r="M25" s="53"/>
      <c r="N25" s="53"/>
      <c r="O25" s="53"/>
      <c r="P25" s="61"/>
      <c r="Q25" s="53"/>
      <c r="R25" s="36"/>
      <c r="S25" s="36"/>
      <c r="T25" s="36"/>
      <c r="U25" s="36"/>
      <c r="V25" s="36"/>
      <c r="W25" s="36"/>
      <c r="X25" s="36"/>
      <c r="Y25" s="36"/>
      <c r="Z25" s="53"/>
      <c r="AA25" s="36"/>
      <c r="AB25" s="69"/>
    </row>
    <row r="26" spans="1:28" ht="19.5" customHeight="1">
      <c r="A26" s="41"/>
      <c r="B26" s="42" t="s">
        <v>588</v>
      </c>
      <c r="C26" s="43" t="s">
        <v>584</v>
      </c>
      <c r="D26" s="43" t="s">
        <v>584</v>
      </c>
      <c r="E26" s="43" t="s">
        <v>584</v>
      </c>
      <c r="F26" s="43" t="s">
        <v>584</v>
      </c>
      <c r="G26" s="43" t="s">
        <v>584</v>
      </c>
      <c r="H26" s="43" t="s">
        <v>584</v>
      </c>
      <c r="I26" s="43" t="s">
        <v>584</v>
      </c>
      <c r="J26" s="62"/>
      <c r="K26" s="62"/>
      <c r="L26" s="63"/>
      <c r="M26" s="63"/>
      <c r="N26" s="63"/>
      <c r="O26" s="63"/>
      <c r="P26" s="63"/>
      <c r="Q26" s="63"/>
      <c r="R26" s="66"/>
      <c r="S26" s="66"/>
      <c r="T26" s="66"/>
      <c r="U26" s="66"/>
      <c r="V26" s="66"/>
      <c r="W26" s="66"/>
      <c r="X26" s="66"/>
      <c r="Y26" s="66"/>
      <c r="Z26" s="63"/>
      <c r="AA26" s="66"/>
      <c r="AB26" s="72"/>
    </row>
    <row r="27" spans="1:12" ht="37.5" customHeight="1">
      <c r="A27" s="44" t="s">
        <v>591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30" ht="11.25">
      <c r="J30" s="64"/>
    </row>
  </sheetData>
  <sheetProtection/>
  <mergeCells count="22">
    <mergeCell ref="A1:D1"/>
    <mergeCell ref="A2:AB2"/>
    <mergeCell ref="A3:AB3"/>
    <mergeCell ref="C4:I4"/>
    <mergeCell ref="J4:AB4"/>
    <mergeCell ref="K5:Q5"/>
    <mergeCell ref="R5:U5"/>
    <mergeCell ref="V5:Y5"/>
    <mergeCell ref="A27:L27"/>
    <mergeCell ref="A7:A11"/>
    <mergeCell ref="A12:A16"/>
    <mergeCell ref="A17:A21"/>
    <mergeCell ref="A22:A26"/>
    <mergeCell ref="C5:C6"/>
    <mergeCell ref="D5:D6"/>
    <mergeCell ref="E5:E6"/>
    <mergeCell ref="F5:F6"/>
    <mergeCell ref="G5:G6"/>
    <mergeCell ref="H5:H6"/>
    <mergeCell ref="I5:I6"/>
    <mergeCell ref="J5:J6"/>
    <mergeCell ref="A4:B6"/>
  </mergeCells>
  <printOptions horizontalCentered="1"/>
  <pageMargins left="0.51" right="0.55" top="0.75" bottom="0.75" header="0.31" footer="0.31"/>
  <pageSetup horizontalDpi="600" verticalDpi="600" orientation="landscape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火山哥</cp:lastModifiedBy>
  <cp:lastPrinted>2021-04-26T09:25:51Z</cp:lastPrinted>
  <dcterms:created xsi:type="dcterms:W3CDTF">1996-12-17T01:32:42Z</dcterms:created>
  <dcterms:modified xsi:type="dcterms:W3CDTF">2023-08-01T03:30:30Z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C6AAAB7EB6B24F0087C47E8C456CEC89_13</vt:lpwstr>
  </property>
</Properties>
</file>